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ARRY RAFF\Google Drive\Z-EXCEL DOCS\"/>
    </mc:Choice>
  </mc:AlternateContent>
  <bookViews>
    <workbookView xWindow="0" yWindow="4170" windowWidth="20730" windowHeight="8445"/>
  </bookViews>
  <sheets>
    <sheet name="MAIN CALCULATOR" sheetId="1" r:id="rId1"/>
    <sheet name="INTERNAL PROCESS" sheetId="4" r:id="rId2"/>
    <sheet name="GLOSSARY" sheetId="2" r:id="rId3"/>
  </sheets>
  <definedNames>
    <definedName name="_xlnm.Print_Area" localSheetId="2">GLOSSARY!$A$1:$B$39</definedName>
    <definedName name="_xlnm.Print_Area" localSheetId="0">'MAIN CALCULATOR'!$A$1:$E$210</definedName>
    <definedName name="Z_8F8E2059_EE6D_4B50_A6CC_A33BA571B0F2_.wvu.Cols" localSheetId="0" hidden="1">'MAIN CALCULATOR'!$C:$C,'MAIN CALCULATOR'!$E:$E</definedName>
    <definedName name="Z_8F8E2059_EE6D_4B50_A6CC_A33BA571B0F2_.wvu.PrintArea" localSheetId="2" hidden="1">GLOSSARY!$A$1:$B$39</definedName>
    <definedName name="Z_8F8E2059_EE6D_4B50_A6CC_A33BA571B0F2_.wvu.PrintArea" localSheetId="0" hidden="1">'MAIN CALCULATOR'!$A$1:$E$51</definedName>
    <definedName name="Z_8F8E2059_EE6D_4B50_A6CC_A33BA571B0F2_.wvu.Rows" localSheetId="0" hidden="1">'MAIN CALCULATOR'!$27:$28,'MAIN CALCULATOR'!$42:$43,'MAIN CALCULATOR'!$57:$58,'MAIN CALCULATOR'!$71:$72,'MAIN CALCULATOR'!$85:$86,'MAIN CALCULATOR'!$103:$104,'MAIN CALCULATOR'!$118:$119,'MAIN CALCULATOR'!$133:$134,'MAIN CALCULATOR'!$146:$147,'MAIN CALCULATOR'!$161:$162,'MAIN CALCULATOR'!$176:$177,'MAIN CALCULATOR'!$189:$190,'MAIN CALCULATOR'!$202:$203</definedName>
  </definedNames>
  <calcPr calcId="171027"/>
  <customWorkbookViews>
    <customWorkbookView name="form" guid="{8F8E2059-EE6D-4B50-A6CC-A33BA571B0F2}" maximized="1" windowWidth="1676" windowHeight="835" activeSheetId="1"/>
  </customWorkbookViews>
</workbook>
</file>

<file path=xl/calcChain.xml><?xml version="1.0" encoding="utf-8"?>
<calcChain xmlns="http://schemas.openxmlformats.org/spreadsheetml/2006/main">
  <c r="E11" i="1" l="1"/>
  <c r="D10" i="1" l="1"/>
  <c r="C207" i="1" l="1"/>
  <c r="C206" i="1"/>
  <c r="C194" i="1"/>
  <c r="C193" i="1"/>
  <c r="C181" i="1"/>
  <c r="C180" i="1"/>
  <c r="C166" i="1"/>
  <c r="C165" i="1"/>
  <c r="C151" i="1"/>
  <c r="C150" i="1"/>
  <c r="C138" i="1"/>
  <c r="C137" i="1"/>
  <c r="C123" i="1"/>
  <c r="C122" i="1"/>
  <c r="C108" i="1"/>
  <c r="C107" i="1"/>
  <c r="C90" i="1"/>
  <c r="C89" i="1"/>
  <c r="C76" i="1"/>
  <c r="C75" i="1"/>
  <c r="C62" i="1"/>
  <c r="C61" i="1"/>
  <c r="C47" i="1"/>
  <c r="C46" i="1"/>
  <c r="E201" i="1" l="1"/>
  <c r="E200" i="1"/>
  <c r="E188" i="1"/>
  <c r="E187" i="1"/>
  <c r="E175" i="1"/>
  <c r="E174" i="1"/>
  <c r="E173" i="1"/>
  <c r="E172" i="1"/>
  <c r="E160" i="1"/>
  <c r="E159" i="1"/>
  <c r="E158" i="1"/>
  <c r="E157" i="1"/>
  <c r="E145" i="1"/>
  <c r="E144" i="1"/>
  <c r="E132" i="1"/>
  <c r="E131" i="1"/>
  <c r="E130" i="1"/>
  <c r="E129" i="1"/>
  <c r="E117" i="1"/>
  <c r="E116" i="1"/>
  <c r="E115" i="1"/>
  <c r="E114" i="1"/>
  <c r="E102" i="1"/>
  <c r="E101" i="1"/>
  <c r="E100" i="1"/>
  <c r="E99" i="1"/>
  <c r="E98" i="1"/>
  <c r="E97" i="1"/>
  <c r="E96" i="1"/>
  <c r="E84" i="1"/>
  <c r="E83" i="1"/>
  <c r="E82" i="1"/>
  <c r="E70" i="1"/>
  <c r="E69" i="1"/>
  <c r="E68" i="1"/>
  <c r="E56" i="1"/>
  <c r="E55" i="1"/>
  <c r="E54" i="1"/>
  <c r="E53" i="1"/>
  <c r="E41" i="1"/>
  <c r="E40" i="1"/>
  <c r="E39" i="1"/>
  <c r="C201" i="1"/>
  <c r="C200" i="1"/>
  <c r="C188" i="1"/>
  <c r="C187" i="1"/>
  <c r="C160" i="1"/>
  <c r="C159" i="1"/>
  <c r="C145" i="1"/>
  <c r="C132" i="1"/>
  <c r="C131" i="1"/>
  <c r="C130" i="1"/>
  <c r="C129" i="1"/>
  <c r="C114" i="1"/>
  <c r="C102" i="1"/>
  <c r="C100" i="1"/>
  <c r="C99" i="1"/>
  <c r="C98" i="1"/>
  <c r="C96" i="1"/>
  <c r="C84" i="1"/>
  <c r="C83" i="1"/>
  <c r="C82" i="1"/>
  <c r="C70" i="1"/>
  <c r="C69" i="1"/>
  <c r="C56" i="1"/>
  <c r="C55" i="1"/>
  <c r="C54" i="1"/>
  <c r="C53" i="1"/>
  <c r="C40" i="1"/>
  <c r="C39" i="1"/>
  <c r="C175" i="1" l="1"/>
  <c r="C173" i="1"/>
  <c r="C174" i="1"/>
  <c r="C172" i="1"/>
  <c r="E207" i="1" l="1"/>
  <c r="D207" i="1" s="1"/>
  <c r="E206" i="1"/>
  <c r="D206" i="1" s="1"/>
  <c r="E194" i="1"/>
  <c r="D194" i="1" s="1"/>
  <c r="E193" i="1"/>
  <c r="D193" i="1" s="1"/>
  <c r="E181" i="1"/>
  <c r="D181" i="1" s="1"/>
  <c r="E180" i="1"/>
  <c r="D180" i="1" s="1"/>
  <c r="E176" i="1"/>
  <c r="C176" i="1"/>
  <c r="E166" i="1"/>
  <c r="D166" i="1" s="1"/>
  <c r="E165" i="1"/>
  <c r="D165" i="1" s="1"/>
  <c r="C158" i="1"/>
  <c r="C157" i="1"/>
  <c r="E151" i="1"/>
  <c r="D151" i="1" s="1"/>
  <c r="E150" i="1"/>
  <c r="D150" i="1" s="1"/>
  <c r="C144" i="1"/>
  <c r="E138" i="1"/>
  <c r="D138" i="1" s="1"/>
  <c r="E137" i="1"/>
  <c r="D137" i="1" s="1"/>
  <c r="E123" i="1"/>
  <c r="D123" i="1" s="1"/>
  <c r="E122" i="1"/>
  <c r="D122" i="1" s="1"/>
  <c r="C117" i="1"/>
  <c r="C116" i="1"/>
  <c r="C115" i="1"/>
  <c r="E108" i="1"/>
  <c r="D108" i="1" s="1"/>
  <c r="E107" i="1"/>
  <c r="D107" i="1" s="1"/>
  <c r="C101" i="1"/>
  <c r="C97" i="1"/>
  <c r="E103" i="1"/>
  <c r="E90" i="1"/>
  <c r="D90" i="1" s="1"/>
  <c r="E89" i="1"/>
  <c r="D89" i="1" s="1"/>
  <c r="C85" i="1"/>
  <c r="E76" i="1"/>
  <c r="D76" i="1" s="1"/>
  <c r="E75" i="1"/>
  <c r="D75" i="1" s="1"/>
  <c r="C68" i="1"/>
  <c r="E62" i="1"/>
  <c r="D62" i="1" s="1"/>
  <c r="E61" i="1"/>
  <c r="D61" i="1" s="1"/>
  <c r="E47" i="1"/>
  <c r="D47" i="1" s="1"/>
  <c r="E46" i="1"/>
  <c r="D46" i="1" s="1"/>
  <c r="C41" i="1"/>
  <c r="C161" i="1" l="1"/>
  <c r="C118" i="1"/>
  <c r="E133" i="1"/>
  <c r="E85" i="1"/>
  <c r="C133" i="1"/>
  <c r="E57" i="1"/>
  <c r="E71" i="1"/>
  <c r="C146" i="1"/>
  <c r="E161" i="1"/>
  <c r="C42" i="1"/>
  <c r="E118" i="1"/>
  <c r="E146" i="1"/>
  <c r="E189" i="1"/>
  <c r="C202" i="1"/>
  <c r="E42" i="1"/>
  <c r="C57" i="1"/>
  <c r="C71" i="1"/>
  <c r="C103" i="1"/>
  <c r="C189" i="1"/>
  <c r="E202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9" i="1"/>
  <c r="E8" i="1"/>
  <c r="E7" i="1"/>
  <c r="E6" i="1"/>
  <c r="E5" i="1"/>
  <c r="C23" i="1"/>
  <c r="C17" i="1" l="1"/>
  <c r="C31" i="1" l="1"/>
  <c r="E32" i="1"/>
  <c r="D32" i="1" s="1"/>
  <c r="C32" i="1"/>
  <c r="E31" i="1"/>
  <c r="D31" i="1" s="1"/>
  <c r="C26" i="1" l="1"/>
  <c r="E28" i="1" l="1"/>
  <c r="E10" i="1"/>
  <c r="C8" i="1"/>
  <c r="C13" i="1"/>
  <c r="C12" i="1"/>
  <c r="C28" i="1"/>
  <c r="C6" i="1"/>
  <c r="C5" i="1"/>
  <c r="C7" i="1"/>
  <c r="C9" i="1"/>
  <c r="C25" i="1"/>
  <c r="C24" i="1"/>
  <c r="C22" i="1"/>
  <c r="C21" i="1"/>
  <c r="C20" i="1"/>
  <c r="C19" i="1"/>
  <c r="C18" i="1"/>
  <c r="C16" i="1"/>
  <c r="C15" i="1"/>
  <c r="C14" i="1"/>
  <c r="C11" i="1"/>
  <c r="B10" i="1"/>
  <c r="C10" i="1" s="1"/>
  <c r="C190" i="1" l="1"/>
  <c r="C177" i="1"/>
  <c r="C147" i="1"/>
  <c r="C119" i="1"/>
  <c r="C203" i="1"/>
  <c r="C162" i="1"/>
  <c r="C134" i="1"/>
  <c r="C104" i="1"/>
  <c r="C72" i="1"/>
  <c r="C86" i="1"/>
  <c r="C87" i="1" s="1"/>
  <c r="C58" i="1"/>
  <c r="C43" i="1"/>
  <c r="E203" i="1"/>
  <c r="E162" i="1"/>
  <c r="E134" i="1"/>
  <c r="E104" i="1"/>
  <c r="E72" i="1"/>
  <c r="E58" i="1"/>
  <c r="E43" i="1"/>
  <c r="E177" i="1"/>
  <c r="E147" i="1"/>
  <c r="E119" i="1"/>
  <c r="E86" i="1"/>
  <c r="E190" i="1"/>
  <c r="C27" i="1"/>
  <c r="C105" i="1" s="1"/>
  <c r="C106" i="1" s="1"/>
  <c r="E27" i="1"/>
  <c r="I84" i="1" l="1"/>
  <c r="C44" i="1"/>
  <c r="C148" i="1"/>
  <c r="C204" i="1"/>
  <c r="C178" i="1"/>
  <c r="C73" i="1"/>
  <c r="I100" i="1"/>
  <c r="C59" i="1"/>
  <c r="C191" i="1"/>
  <c r="C120" i="1"/>
  <c r="C135" i="1"/>
  <c r="C163" i="1"/>
  <c r="E59" i="1"/>
  <c r="E60" i="1" s="1"/>
  <c r="E135" i="1"/>
  <c r="E136" i="1" s="1"/>
  <c r="E73" i="1"/>
  <c r="E74" i="1" s="1"/>
  <c r="E163" i="1"/>
  <c r="E164" i="1" s="1"/>
  <c r="E105" i="1"/>
  <c r="E106" i="1" s="1"/>
  <c r="E87" i="1"/>
  <c r="E88" i="1" s="1"/>
  <c r="E178" i="1"/>
  <c r="E179" i="1" s="1"/>
  <c r="E191" i="1"/>
  <c r="E192" i="1" s="1"/>
  <c r="E44" i="1"/>
  <c r="E45" i="1" s="1"/>
  <c r="E148" i="1"/>
  <c r="E149" i="1" s="1"/>
  <c r="E120" i="1"/>
  <c r="E121" i="1" s="1"/>
  <c r="E204" i="1"/>
  <c r="E205" i="1" s="1"/>
  <c r="C29" i="1"/>
  <c r="E29" i="1"/>
  <c r="E30" i="1" s="1"/>
  <c r="I188" i="1" l="1"/>
  <c r="I192" i="1" s="1"/>
  <c r="C192" i="1"/>
  <c r="I115" i="1"/>
  <c r="I125" i="1" s="1"/>
  <c r="C121" i="1"/>
  <c r="I202" i="1"/>
  <c r="I212" i="1" s="1"/>
  <c r="C205" i="1"/>
  <c r="K202" i="1" s="1"/>
  <c r="I70" i="1"/>
  <c r="I79" i="1" s="1"/>
  <c r="C74" i="1"/>
  <c r="I23" i="1"/>
  <c r="I27" i="1" s="1"/>
  <c r="C30" i="1"/>
  <c r="K23" i="1" s="1"/>
  <c r="I146" i="1"/>
  <c r="I148" i="1" s="1"/>
  <c r="C149" i="1"/>
  <c r="I174" i="1"/>
  <c r="I176" i="1" s="1"/>
  <c r="C179" i="1"/>
  <c r="I39" i="1"/>
  <c r="I48" i="1" s="1"/>
  <c r="C45" i="1"/>
  <c r="K39" i="1" s="1"/>
  <c r="I131" i="1"/>
  <c r="I140" i="1" s="1"/>
  <c r="C136" i="1"/>
  <c r="K131" i="1" s="1"/>
  <c r="I160" i="1"/>
  <c r="I165" i="1" s="1"/>
  <c r="C164" i="1"/>
  <c r="K160" i="1" s="1"/>
  <c r="I56" i="1"/>
  <c r="C60" i="1"/>
  <c r="K56" i="1" s="1"/>
  <c r="J84" i="1"/>
  <c r="J131" i="1"/>
  <c r="J139" i="1" s="1"/>
  <c r="J100" i="1"/>
  <c r="J104" i="1" s="1"/>
  <c r="J109" i="1" s="1"/>
  <c r="J146" i="1"/>
  <c r="J153" i="1" s="1"/>
  <c r="J70" i="1"/>
  <c r="J73" i="1" s="1"/>
  <c r="J77" i="1" s="1"/>
  <c r="L70" i="1"/>
  <c r="J174" i="1"/>
  <c r="J179" i="1" s="1"/>
  <c r="J188" i="1"/>
  <c r="J192" i="1" s="1"/>
  <c r="J197" i="1" s="1"/>
  <c r="L188" i="1"/>
  <c r="J56" i="1"/>
  <c r="J115" i="1"/>
  <c r="J118" i="1" s="1"/>
  <c r="J122" i="1" s="1"/>
  <c r="L115" i="1"/>
  <c r="J202" i="1"/>
  <c r="J206" i="1" s="1"/>
  <c r="J211" i="1" s="1"/>
  <c r="J160" i="1"/>
  <c r="J162" i="1" s="1"/>
  <c r="L160" i="1"/>
  <c r="J23" i="1"/>
  <c r="J26" i="1" s="1"/>
  <c r="J30" i="1" s="1"/>
  <c r="I94" i="1"/>
  <c r="I88" i="1"/>
  <c r="I93" i="1"/>
  <c r="I86" i="1"/>
  <c r="I87" i="1"/>
  <c r="I91" i="1" s="1"/>
  <c r="I92" i="1"/>
  <c r="I89" i="1"/>
  <c r="I110" i="1"/>
  <c r="I105" i="1"/>
  <c r="I102" i="1"/>
  <c r="I104" i="1"/>
  <c r="I109" i="1"/>
  <c r="I103" i="1"/>
  <c r="I107" i="1" s="1"/>
  <c r="I73" i="1"/>
  <c r="I77" i="1" s="1"/>
  <c r="J39" i="1"/>
  <c r="C184" i="1"/>
  <c r="C182" i="1"/>
  <c r="C183" i="1" s="1"/>
  <c r="B183" i="1" s="1"/>
  <c r="C65" i="1"/>
  <c r="C63" i="1"/>
  <c r="C64" i="1" s="1"/>
  <c r="C197" i="1"/>
  <c r="C195" i="1"/>
  <c r="C196" i="1" s="1"/>
  <c r="B196" i="1" s="1"/>
  <c r="C93" i="1"/>
  <c r="C91" i="1"/>
  <c r="C92" i="1" s="1"/>
  <c r="B92" i="1" s="1"/>
  <c r="C88" i="1"/>
  <c r="K84" i="1" s="1"/>
  <c r="C126" i="1"/>
  <c r="C124" i="1"/>
  <c r="C125" i="1" s="1"/>
  <c r="B125" i="1" s="1"/>
  <c r="C141" i="1"/>
  <c r="C139" i="1"/>
  <c r="C140" i="1" s="1"/>
  <c r="B140" i="1" s="1"/>
  <c r="C210" i="1"/>
  <c r="C208" i="1"/>
  <c r="C209" i="1" s="1"/>
  <c r="B209" i="1" s="1"/>
  <c r="C79" i="1"/>
  <c r="C77" i="1"/>
  <c r="C78" i="1" s="1"/>
  <c r="B78" i="1" s="1"/>
  <c r="C50" i="1"/>
  <c r="C48" i="1"/>
  <c r="C49" i="1" s="1"/>
  <c r="B49" i="1" s="1"/>
  <c r="C154" i="1"/>
  <c r="C152" i="1"/>
  <c r="C153" i="1" s="1"/>
  <c r="B153" i="1" s="1"/>
  <c r="C169" i="1"/>
  <c r="C167" i="1"/>
  <c r="C168" i="1" s="1"/>
  <c r="B168" i="1" s="1"/>
  <c r="C111" i="1"/>
  <c r="C109" i="1"/>
  <c r="C110" i="1" s="1"/>
  <c r="B110" i="1" s="1"/>
  <c r="K100" i="1"/>
  <c r="E197" i="1"/>
  <c r="E195" i="1"/>
  <c r="E126" i="1"/>
  <c r="E124" i="1"/>
  <c r="E184" i="1"/>
  <c r="E182" i="1"/>
  <c r="L174" i="1"/>
  <c r="E79" i="1"/>
  <c r="E77" i="1"/>
  <c r="E154" i="1"/>
  <c r="E152" i="1"/>
  <c r="L146" i="1"/>
  <c r="L84" i="1"/>
  <c r="E93" i="1"/>
  <c r="E91" i="1"/>
  <c r="E139" i="1"/>
  <c r="E141" i="1"/>
  <c r="L131" i="1"/>
  <c r="L202" i="1"/>
  <c r="E210" i="1"/>
  <c r="E208" i="1"/>
  <c r="E169" i="1"/>
  <c r="E167" i="1"/>
  <c r="L39" i="1"/>
  <c r="E50" i="1"/>
  <c r="E48" i="1"/>
  <c r="E111" i="1"/>
  <c r="E109" i="1"/>
  <c r="L100" i="1"/>
  <c r="E63" i="1"/>
  <c r="E65" i="1"/>
  <c r="L56" i="1"/>
  <c r="E35" i="1"/>
  <c r="C35" i="1"/>
  <c r="I80" i="1" l="1"/>
  <c r="I44" i="1"/>
  <c r="I72" i="1"/>
  <c r="J193" i="1"/>
  <c r="I43" i="1"/>
  <c r="I205" i="1"/>
  <c r="I209" i="1" s="1"/>
  <c r="I163" i="1"/>
  <c r="I167" i="1" s="1"/>
  <c r="I164" i="1"/>
  <c r="I120" i="1"/>
  <c r="I78" i="1"/>
  <c r="I82" i="1" s="1"/>
  <c r="B73" i="1" s="1"/>
  <c r="B79" i="1" s="1"/>
  <c r="J191" i="1"/>
  <c r="J196" i="1" s="1"/>
  <c r="J190" i="1"/>
  <c r="I177" i="1"/>
  <c r="I181" i="1" s="1"/>
  <c r="I28" i="1"/>
  <c r="I162" i="1"/>
  <c r="I108" i="1"/>
  <c r="I112" i="1" s="1"/>
  <c r="B105" i="1" s="1"/>
  <c r="B111" i="1" s="1"/>
  <c r="I133" i="1"/>
  <c r="I124" i="1"/>
  <c r="I118" i="1"/>
  <c r="I32" i="1"/>
  <c r="I155" i="1"/>
  <c r="I206" i="1"/>
  <c r="I150" i="1"/>
  <c r="I183" i="1"/>
  <c r="I207" i="1"/>
  <c r="I151" i="1"/>
  <c r="J198" i="1"/>
  <c r="J195" i="1"/>
  <c r="J200" i="1" s="1"/>
  <c r="D191" i="1" s="1"/>
  <c r="D197" i="1" s="1"/>
  <c r="I42" i="1"/>
  <c r="I49" i="1"/>
  <c r="J164" i="1"/>
  <c r="J169" i="1" s="1"/>
  <c r="I74" i="1"/>
  <c r="I170" i="1"/>
  <c r="I149" i="1"/>
  <c r="I153" i="1" s="1"/>
  <c r="I156" i="1"/>
  <c r="I119" i="1"/>
  <c r="I117" i="1"/>
  <c r="I41" i="1"/>
  <c r="I75" i="1"/>
  <c r="I169" i="1"/>
  <c r="I33" i="1"/>
  <c r="I141" i="1"/>
  <c r="I198" i="1"/>
  <c r="J170" i="1"/>
  <c r="I210" i="1"/>
  <c r="J177" i="1"/>
  <c r="J182" i="1" s="1"/>
  <c r="I179" i="1"/>
  <c r="I191" i="1"/>
  <c r="I195" i="1" s="1"/>
  <c r="I26" i="1"/>
  <c r="I30" i="1" s="1"/>
  <c r="I136" i="1"/>
  <c r="J163" i="1"/>
  <c r="J168" i="1" s="1"/>
  <c r="I204" i="1"/>
  <c r="I134" i="1"/>
  <c r="I138" i="1" s="1"/>
  <c r="I178" i="1"/>
  <c r="I25" i="1"/>
  <c r="J167" i="1"/>
  <c r="J172" i="1" s="1"/>
  <c r="D163" i="1" s="1"/>
  <c r="D169" i="1" s="1"/>
  <c r="I211" i="1"/>
  <c r="I135" i="1"/>
  <c r="I184" i="1"/>
  <c r="I190" i="1"/>
  <c r="I193" i="1"/>
  <c r="J165" i="1"/>
  <c r="I197" i="1"/>
  <c r="J110" i="1"/>
  <c r="J108" i="1"/>
  <c r="J103" i="1"/>
  <c r="J107" i="1" s="1"/>
  <c r="J102" i="1"/>
  <c r="J134" i="1"/>
  <c r="J138" i="1" s="1"/>
  <c r="J105" i="1"/>
  <c r="J150" i="1"/>
  <c r="J155" i="1" s="1"/>
  <c r="J133" i="1"/>
  <c r="J117" i="1"/>
  <c r="J205" i="1"/>
  <c r="J210" i="1" s="1"/>
  <c r="J136" i="1"/>
  <c r="J141" i="1" s="1"/>
  <c r="J209" i="1"/>
  <c r="J151" i="1"/>
  <c r="J156" i="1" s="1"/>
  <c r="J149" i="1"/>
  <c r="J154" i="1" s="1"/>
  <c r="J148" i="1"/>
  <c r="J119" i="1"/>
  <c r="J124" i="1" s="1"/>
  <c r="J89" i="1"/>
  <c r="J94" i="1" s="1"/>
  <c r="J72" i="1"/>
  <c r="J135" i="1"/>
  <c r="J140" i="1" s="1"/>
  <c r="J88" i="1"/>
  <c r="J93" i="1" s="1"/>
  <c r="J204" i="1"/>
  <c r="J184" i="1"/>
  <c r="J87" i="1"/>
  <c r="J91" i="1" s="1"/>
  <c r="J74" i="1"/>
  <c r="J79" i="1" s="1"/>
  <c r="J86" i="1"/>
  <c r="J207" i="1"/>
  <c r="J212" i="1" s="1"/>
  <c r="J176" i="1"/>
  <c r="J123" i="1"/>
  <c r="J181" i="1"/>
  <c r="J75" i="1"/>
  <c r="J80" i="1" s="1"/>
  <c r="J120" i="1"/>
  <c r="J125" i="1" s="1"/>
  <c r="J178" i="1"/>
  <c r="J183" i="1" s="1"/>
  <c r="J78" i="1"/>
  <c r="J27" i="1"/>
  <c r="J32" i="1" s="1"/>
  <c r="J28" i="1"/>
  <c r="J33" i="1" s="1"/>
  <c r="J25" i="1"/>
  <c r="J92" i="1"/>
  <c r="J31" i="1"/>
  <c r="K115" i="1"/>
  <c r="K102" i="1"/>
  <c r="K103" i="1"/>
  <c r="K107" i="1" s="1"/>
  <c r="K109" i="1"/>
  <c r="K110" i="1"/>
  <c r="K105" i="1"/>
  <c r="K104" i="1"/>
  <c r="L210" i="1"/>
  <c r="L207" i="1"/>
  <c r="L212" i="1" s="1"/>
  <c r="L209" i="1"/>
  <c r="L205" i="1"/>
  <c r="L206" i="1"/>
  <c r="L211" i="1" s="1"/>
  <c r="L204" i="1"/>
  <c r="L181" i="1"/>
  <c r="L176" i="1"/>
  <c r="L179" i="1"/>
  <c r="L184" i="1" s="1"/>
  <c r="L178" i="1"/>
  <c r="L183" i="1" s="1"/>
  <c r="L177" i="1"/>
  <c r="L182" i="1" s="1"/>
  <c r="K146" i="1"/>
  <c r="L151" i="1"/>
  <c r="L156" i="1" s="1"/>
  <c r="L150" i="1"/>
  <c r="L155" i="1" s="1"/>
  <c r="L148" i="1"/>
  <c r="L153" i="1"/>
  <c r="L149" i="1"/>
  <c r="L154" i="1" s="1"/>
  <c r="K204" i="1"/>
  <c r="K212" i="1"/>
  <c r="K211" i="1"/>
  <c r="K207" i="1"/>
  <c r="K206" i="1"/>
  <c r="K205" i="1"/>
  <c r="K209" i="1" s="1"/>
  <c r="L192" i="1"/>
  <c r="L197" i="1" s="1"/>
  <c r="L190" i="1"/>
  <c r="L193" i="1"/>
  <c r="L198" i="1" s="1"/>
  <c r="L195" i="1"/>
  <c r="L196" i="1"/>
  <c r="L191" i="1"/>
  <c r="K70" i="1"/>
  <c r="K135" i="1"/>
  <c r="K133" i="1"/>
  <c r="K140" i="1"/>
  <c r="K139" i="1"/>
  <c r="K141" i="1"/>
  <c r="K136" i="1"/>
  <c r="K134" i="1"/>
  <c r="K138" i="1" s="1"/>
  <c r="K93" i="1"/>
  <c r="K86" i="1"/>
  <c r="K94" i="1"/>
  <c r="K88" i="1"/>
  <c r="K92" i="1"/>
  <c r="K89" i="1"/>
  <c r="K87" i="1"/>
  <c r="K91" i="1" s="1"/>
  <c r="K170" i="1"/>
  <c r="K164" i="1"/>
  <c r="K169" i="1"/>
  <c r="K165" i="1"/>
  <c r="K162" i="1"/>
  <c r="K168" i="1"/>
  <c r="K163" i="1"/>
  <c r="K167" i="1" s="1"/>
  <c r="K188" i="1"/>
  <c r="K174" i="1"/>
  <c r="L162" i="1"/>
  <c r="L165" i="1"/>
  <c r="L170" i="1" s="1"/>
  <c r="L164" i="1"/>
  <c r="L169" i="1" s="1"/>
  <c r="L163" i="1"/>
  <c r="L167" i="1"/>
  <c r="L168" i="1"/>
  <c r="I96" i="1"/>
  <c r="B87" i="1" s="1"/>
  <c r="B93" i="1" s="1"/>
  <c r="L72" i="1"/>
  <c r="L74" i="1"/>
  <c r="L79" i="1" s="1"/>
  <c r="L78" i="1"/>
  <c r="L75" i="1"/>
  <c r="L80" i="1" s="1"/>
  <c r="L73" i="1"/>
  <c r="L77" i="1" s="1"/>
  <c r="L92" i="1"/>
  <c r="L89" i="1"/>
  <c r="L94" i="1" s="1"/>
  <c r="L87" i="1"/>
  <c r="L91" i="1" s="1"/>
  <c r="L88" i="1"/>
  <c r="L93" i="1" s="1"/>
  <c r="L86" i="1"/>
  <c r="L107" i="1"/>
  <c r="L104" i="1"/>
  <c r="L109" i="1" s="1"/>
  <c r="L102" i="1"/>
  <c r="L103" i="1"/>
  <c r="L108" i="1" s="1"/>
  <c r="L105" i="1"/>
  <c r="L110" i="1" s="1"/>
  <c r="L136" i="1"/>
  <c r="L141" i="1" s="1"/>
  <c r="L134" i="1"/>
  <c r="L138" i="1" s="1"/>
  <c r="L133" i="1"/>
  <c r="L135" i="1"/>
  <c r="L140" i="1" s="1"/>
  <c r="L139" i="1"/>
  <c r="L119" i="1"/>
  <c r="L124" i="1" s="1"/>
  <c r="L117" i="1"/>
  <c r="L118" i="1"/>
  <c r="L123" i="1" s="1"/>
  <c r="L122" i="1"/>
  <c r="L120" i="1"/>
  <c r="L125" i="1" s="1"/>
  <c r="L58" i="1"/>
  <c r="L60" i="1"/>
  <c r="L65" i="1" s="1"/>
  <c r="L61" i="1"/>
  <c r="L66" i="1" s="1"/>
  <c r="L59" i="1"/>
  <c r="L63" i="1" s="1"/>
  <c r="L41" i="1"/>
  <c r="L44" i="1"/>
  <c r="L49" i="1" s="1"/>
  <c r="L47" i="1"/>
  <c r="L42" i="1"/>
  <c r="L46" i="1" s="1"/>
  <c r="L43" i="1"/>
  <c r="L48" i="1" s="1"/>
  <c r="B64" i="1"/>
  <c r="J42" i="1"/>
  <c r="J46" i="1" s="1"/>
  <c r="J41" i="1"/>
  <c r="J49" i="1"/>
  <c r="J43" i="1"/>
  <c r="J48" i="1" s="1"/>
  <c r="J44" i="1"/>
  <c r="K26" i="1"/>
  <c r="K30" i="1" s="1"/>
  <c r="K32" i="1"/>
  <c r="K33" i="1"/>
  <c r="K27" i="1"/>
  <c r="K28" i="1"/>
  <c r="K25" i="1"/>
  <c r="K44" i="1"/>
  <c r="K49" i="1"/>
  <c r="K41" i="1"/>
  <c r="K43" i="1"/>
  <c r="K48" i="1" s="1"/>
  <c r="K42" i="1"/>
  <c r="K46" i="1" s="1"/>
  <c r="L23" i="1"/>
  <c r="C33" i="1"/>
  <c r="C34" i="1" s="1"/>
  <c r="B34" i="1" s="1"/>
  <c r="E92" i="1"/>
  <c r="D92" i="1" s="1"/>
  <c r="E168" i="1"/>
  <c r="D168" i="1" s="1"/>
  <c r="E78" i="1"/>
  <c r="D78" i="1" s="1"/>
  <c r="E183" i="1"/>
  <c r="D183" i="1" s="1"/>
  <c r="E196" i="1"/>
  <c r="D196" i="1" s="1"/>
  <c r="E64" i="1"/>
  <c r="E140" i="1"/>
  <c r="D140" i="1" s="1"/>
  <c r="E49" i="1"/>
  <c r="D49" i="1" s="1"/>
  <c r="E209" i="1"/>
  <c r="D209" i="1" s="1"/>
  <c r="E125" i="1"/>
  <c r="D125" i="1" s="1"/>
  <c r="E110" i="1"/>
  <c r="D110" i="1" s="1"/>
  <c r="E153" i="1"/>
  <c r="D153" i="1" s="1"/>
  <c r="E33" i="1"/>
  <c r="E34" i="1" s="1"/>
  <c r="D34" i="1" s="1"/>
  <c r="K210" i="1" l="1"/>
  <c r="I168" i="1"/>
  <c r="I172" i="1" s="1"/>
  <c r="B163" i="1" s="1"/>
  <c r="B169" i="1" s="1"/>
  <c r="I196" i="1"/>
  <c r="I200" i="1" s="1"/>
  <c r="B191" i="1" s="1"/>
  <c r="B197" i="1" s="1"/>
  <c r="K108" i="1"/>
  <c r="K112" i="1" s="1"/>
  <c r="B106" i="1" s="1"/>
  <c r="B109" i="1" s="1"/>
  <c r="I158" i="1"/>
  <c r="B148" i="1" s="1"/>
  <c r="B154" i="1" s="1"/>
  <c r="K47" i="1"/>
  <c r="K51" i="1" s="1"/>
  <c r="B45" i="1" s="1"/>
  <c r="B48" i="1" s="1"/>
  <c r="I31" i="1"/>
  <c r="I35" i="1" s="1"/>
  <c r="B29" i="1" s="1"/>
  <c r="B35" i="1" s="1"/>
  <c r="K31" i="1"/>
  <c r="I214" i="1"/>
  <c r="B204" i="1" s="1"/>
  <c r="B210" i="1" s="1"/>
  <c r="I154" i="1"/>
  <c r="I182" i="1"/>
  <c r="I186" i="1" s="1"/>
  <c r="B178" i="1" s="1"/>
  <c r="B184" i="1" s="1"/>
  <c r="I139" i="1"/>
  <c r="I143" i="1" s="1"/>
  <c r="B135" i="1" s="1"/>
  <c r="B141" i="1" s="1"/>
  <c r="I122" i="1"/>
  <c r="I123" i="1"/>
  <c r="I46" i="1"/>
  <c r="I47" i="1"/>
  <c r="J214" i="1"/>
  <c r="D204" i="1" s="1"/>
  <c r="D210" i="1" s="1"/>
  <c r="J186" i="1"/>
  <c r="D178" i="1" s="1"/>
  <c r="D184" i="1" s="1"/>
  <c r="J158" i="1"/>
  <c r="D148" i="1" s="1"/>
  <c r="D154" i="1" s="1"/>
  <c r="J112" i="1"/>
  <c r="D105" i="1" s="1"/>
  <c r="D111" i="1" s="1"/>
  <c r="J96" i="1"/>
  <c r="D87" i="1" s="1"/>
  <c r="D93" i="1" s="1"/>
  <c r="J127" i="1"/>
  <c r="D120" i="1" s="1"/>
  <c r="D126" i="1" s="1"/>
  <c r="J82" i="1"/>
  <c r="D73" i="1" s="1"/>
  <c r="D79" i="1" s="1"/>
  <c r="J143" i="1"/>
  <c r="D135" i="1" s="1"/>
  <c r="D141" i="1" s="1"/>
  <c r="J35" i="1"/>
  <c r="D29" i="1" s="1"/>
  <c r="D35" i="1" s="1"/>
  <c r="L127" i="1"/>
  <c r="D121" i="1" s="1"/>
  <c r="D124" i="1" s="1"/>
  <c r="J47" i="1"/>
  <c r="J51" i="1" s="1"/>
  <c r="D44" i="1" s="1"/>
  <c r="D50" i="1" s="1"/>
  <c r="L64" i="1"/>
  <c r="L68" i="1" s="1"/>
  <c r="D60" i="1" s="1"/>
  <c r="D63" i="1" s="1"/>
  <c r="L172" i="1"/>
  <c r="D164" i="1" s="1"/>
  <c r="D167" i="1" s="1"/>
  <c r="K143" i="1"/>
  <c r="B136" i="1" s="1"/>
  <c r="B139" i="1" s="1"/>
  <c r="K96" i="1"/>
  <c r="B88" i="1" s="1"/>
  <c r="B91" i="1" s="1"/>
  <c r="K72" i="1"/>
  <c r="K79" i="1"/>
  <c r="K74" i="1"/>
  <c r="K73" i="1"/>
  <c r="K77" i="1" s="1"/>
  <c r="K80" i="1"/>
  <c r="K75" i="1"/>
  <c r="K119" i="1"/>
  <c r="K118" i="1"/>
  <c r="K122" i="1" s="1"/>
  <c r="K125" i="1"/>
  <c r="K124" i="1"/>
  <c r="K117" i="1"/>
  <c r="K120" i="1"/>
  <c r="K172" i="1"/>
  <c r="B164" i="1" s="1"/>
  <c r="B167" i="1" s="1"/>
  <c r="L200" i="1"/>
  <c r="D192" i="1" s="1"/>
  <c r="D195" i="1" s="1"/>
  <c r="K192" i="1"/>
  <c r="K198" i="1"/>
  <c r="K191" i="1"/>
  <c r="K195" i="1" s="1"/>
  <c r="K193" i="1"/>
  <c r="K197" i="1"/>
  <c r="K190" i="1"/>
  <c r="K184" i="1"/>
  <c r="K177" i="1"/>
  <c r="K181" i="1" s="1"/>
  <c r="K183" i="1"/>
  <c r="K176" i="1"/>
  <c r="K178" i="1"/>
  <c r="K179" i="1"/>
  <c r="L186" i="1"/>
  <c r="D179" i="1" s="1"/>
  <c r="D182" i="1" s="1"/>
  <c r="L214" i="1"/>
  <c r="D205" i="1" s="1"/>
  <c r="D208" i="1" s="1"/>
  <c r="K214" i="1"/>
  <c r="B205" i="1" s="1"/>
  <c r="B208" i="1" s="1"/>
  <c r="K151" i="1"/>
  <c r="K156" i="1"/>
  <c r="K155" i="1"/>
  <c r="K149" i="1"/>
  <c r="K153" i="1" s="1"/>
  <c r="K148" i="1"/>
  <c r="K150" i="1"/>
  <c r="L158" i="1"/>
  <c r="D149" i="1" s="1"/>
  <c r="D152" i="1" s="1"/>
  <c r="L112" i="1"/>
  <c r="D106" i="1" s="1"/>
  <c r="D109" i="1" s="1"/>
  <c r="L143" i="1"/>
  <c r="D136" i="1" s="1"/>
  <c r="D139" i="1" s="1"/>
  <c r="L82" i="1"/>
  <c r="D74" i="1" s="1"/>
  <c r="D77" i="1" s="1"/>
  <c r="L96" i="1"/>
  <c r="D88" i="1" s="1"/>
  <c r="D91" i="1" s="1"/>
  <c r="K35" i="1"/>
  <c r="B30" i="1" s="1"/>
  <c r="B33" i="1" s="1"/>
  <c r="L51" i="1"/>
  <c r="D45" i="1" s="1"/>
  <c r="D48" i="1" s="1"/>
  <c r="I66" i="1"/>
  <c r="I58" i="1"/>
  <c r="I65" i="1"/>
  <c r="I60" i="1"/>
  <c r="I61" i="1"/>
  <c r="I59" i="1"/>
  <c r="I63" i="1" s="1"/>
  <c r="D64" i="1"/>
  <c r="L25" i="1"/>
  <c r="L31" i="1"/>
  <c r="L28" i="1"/>
  <c r="L33" i="1" s="1"/>
  <c r="L27" i="1"/>
  <c r="L32" i="1" s="1"/>
  <c r="L26" i="1"/>
  <c r="L30" i="1" s="1"/>
  <c r="K182" i="1" l="1"/>
  <c r="K123" i="1"/>
  <c r="K127" i="1" s="1"/>
  <c r="B121" i="1" s="1"/>
  <c r="B124" i="1" s="1"/>
  <c r="I64" i="1"/>
  <c r="I68" i="1" s="1"/>
  <c r="B59" i="1" s="1"/>
  <c r="B65" i="1" s="1"/>
  <c r="I51" i="1"/>
  <c r="B44" i="1" s="1"/>
  <c r="B50" i="1" s="1"/>
  <c r="K154" i="1"/>
  <c r="K158" i="1" s="1"/>
  <c r="B149" i="1" s="1"/>
  <c r="B152" i="1" s="1"/>
  <c r="K78" i="1"/>
  <c r="K82" i="1" s="1"/>
  <c r="B74" i="1" s="1"/>
  <c r="B77" i="1" s="1"/>
  <c r="K196" i="1"/>
  <c r="K200" i="1" s="1"/>
  <c r="B192" i="1" s="1"/>
  <c r="B195" i="1" s="1"/>
  <c r="I127" i="1"/>
  <c r="B120" i="1" s="1"/>
  <c r="B126" i="1" s="1"/>
  <c r="K186" i="1"/>
  <c r="B179" i="1" s="1"/>
  <c r="B182" i="1" s="1"/>
  <c r="J63" i="1"/>
  <c r="J58" i="1"/>
  <c r="J60" i="1"/>
  <c r="J65" i="1" s="1"/>
  <c r="J64" i="1"/>
  <c r="J61" i="1"/>
  <c r="J66" i="1" s="1"/>
  <c r="J59" i="1"/>
  <c r="K66" i="1"/>
  <c r="K58" i="1"/>
  <c r="K65" i="1"/>
  <c r="K60" i="1"/>
  <c r="K61" i="1"/>
  <c r="K59" i="1"/>
  <c r="K63" i="1" s="1"/>
  <c r="L35" i="1"/>
  <c r="D30" i="1" s="1"/>
  <c r="D33" i="1" s="1"/>
  <c r="K64" i="1" l="1"/>
  <c r="K68" i="1" s="1"/>
  <c r="B60" i="1" s="1"/>
  <c r="B63" i="1" s="1"/>
  <c r="J68" i="1"/>
  <c r="D59" i="1" s="1"/>
  <c r="D65" i="1" s="1"/>
</calcChain>
</file>

<file path=xl/sharedStrings.xml><?xml version="1.0" encoding="utf-8"?>
<sst xmlns="http://schemas.openxmlformats.org/spreadsheetml/2006/main" count="303" uniqueCount="135">
  <si>
    <t>Hospitals</t>
  </si>
  <si>
    <t>Total given to org.:</t>
  </si>
  <si>
    <t>Total # gifts to org.:</t>
  </si>
  <si>
    <t>Average gift: (calculated)</t>
  </si>
  <si>
    <t>Largest cash gift:</t>
  </si>
  <si>
    <t>Serves on the board:</t>
  </si>
  <si>
    <t>Serves on a committee:</t>
  </si>
  <si>
    <t>Former board member:</t>
  </si>
  <si>
    <t>Has close relationship with a board member:</t>
  </si>
  <si>
    <t>Has made "giving sounds"</t>
  </si>
  <si>
    <t>Largest known gift to another org.:</t>
  </si>
  <si>
    <t>Has made "financial stress" comments:</t>
  </si>
  <si>
    <t>Attends org's fund raising events:</t>
  </si>
  <si>
    <t>Made memorial/tribute gifts to org:</t>
  </si>
  <si>
    <t>Was a patient</t>
  </si>
  <si>
    <t>Family member was/is a patient</t>
  </si>
  <si>
    <t>Used the hospital many times:</t>
  </si>
  <si>
    <t>Close with a doctor at  hospital:</t>
  </si>
  <si>
    <t>Has made an estate gift/intention:</t>
  </si>
  <si>
    <t>Has made in-kind gifts:</t>
  </si>
  <si>
    <t xml:space="preserve">PROSPECT PROFILE </t>
  </si>
  <si>
    <t>FACTOR</t>
  </si>
  <si>
    <t>Retired:</t>
  </si>
  <si>
    <t>0=NO   1=YES</t>
  </si>
  <si>
    <t>BASE FIGURE FOR CALCULATIONS</t>
  </si>
  <si>
    <t>ADJUSTMENT FACTOR</t>
  </si>
  <si>
    <t>ANNUAL PAYMENTS</t>
  </si>
  <si>
    <t>NET ANNUAL PAYMENT AFTER TAXES (30%)</t>
  </si>
  <si>
    <t>ASK AMOUNT</t>
  </si>
  <si>
    <t>GOAL AS % OF AVE GIFT</t>
  </si>
  <si>
    <t>At least one solicitor is liked and respected by prospect:</t>
  </si>
  <si>
    <t>EXPLORE PLANNED GIFT</t>
  </si>
  <si>
    <t xml:space="preserve"> </t>
  </si>
  <si>
    <t>Serves on other boards</t>
  </si>
  <si>
    <t>Philanthropy capacity estimate (bottom of range):</t>
  </si>
  <si>
    <t>Gift purpose consistent with stated interests:</t>
  </si>
  <si>
    <t>TERM</t>
  </si>
  <si>
    <t>DEFINITION</t>
  </si>
  <si>
    <t>If same sex couple, use “male” for the oldest person.</t>
  </si>
  <si>
    <t>No longer fully employed.</t>
  </si>
  <si>
    <t>Total amount of gifts to target nonprofit organization from database report.</t>
  </si>
  <si>
    <t>Total number of individually posted gifts from database report.  This includes cash pledge payments and not the pledge amount itself.</t>
  </si>
  <si>
    <t>Total amount of gifts / total number of cash gifts. Pledge amounts are excluded from this calculation.</t>
  </si>
  <si>
    <t>Largest cash gift not a pledge amount.</t>
  </si>
  <si>
    <t>Often found on web search of nonprofit annual report; use lowest end of published gift range.</t>
  </si>
  <si>
    <t>If an outside service was used to research the prospect; use the lowest figure for the range of philanthropic capacity over a 5 year period.</t>
  </si>
  <si>
    <t>Is a current director of trustee of the target nonprofit organization.</t>
  </si>
  <si>
    <t>Is a current member of any committee of the target organization.</t>
  </si>
  <si>
    <t>Once was a director or trustee of the target nonprofit organization.</t>
  </si>
  <si>
    <t>Is a current director or trustee of another nonprofit organization.</t>
  </si>
  <si>
    <t>Is a friend, relative or business associate of a current director or trustee of target nonprofit organization.</t>
  </si>
  <si>
    <t>Attends two or more fundraising events benefiting the target nonprofit organization.</t>
  </si>
  <si>
    <t>Has declared in writing the target nonprofit organization is included in estate plan.</t>
  </si>
  <si>
    <t>Has made a gift to the target nonprofit organization honoring or memorializing someone</t>
  </si>
  <si>
    <t>Has given non-cash gifts, benefits, services to the target nonprofit organization.</t>
  </si>
  <si>
    <t>The gift will support a program, purpose or capital projectwhere there is a clear or stated interest by the prospect.</t>
  </si>
  <si>
    <t>Has inferred or declared, during discussions with the target nonprofit organization’s staff or volunteers, a willingness or interest in making a financial gift.</t>
  </si>
  <si>
    <t>Has inferred or declared, during discussions with the target nonprofit organization’s staff or volunteers, current financial challenges or events.</t>
  </si>
  <si>
    <t>At least one member of the solicitation team is liked or admired by the prospect.</t>
  </si>
  <si>
    <t>Internal number not for display.</t>
  </si>
  <si>
    <t>The amount of a three year pledge that is hoped for.</t>
  </si>
  <si>
    <t>The amount the prospect is asked for that may result in the ask goal being realized.</t>
  </si>
  <si>
    <t>Should the solicitation conversation include suggestion of including a planned or estate gift instrument (bequest, trust, annuity, life insurance, retirement account) as part of the contribution for prospect #1 or the couple.</t>
  </si>
  <si>
    <t>Should the solicitation conversation include suggestion of including a planned or estate gift instrument (bequest, trust, annuity, life insurance, retirement account) as part of the contribution for prospect #2 or the couple.</t>
  </si>
  <si>
    <t>The ask goal amount divided by 3 years.</t>
  </si>
  <si>
    <t>The goal amount annual payment after tax considerations of a tax bracket of 30%.</t>
  </si>
  <si>
    <t>Comparison of ask goal amount to the donor’s average gift to the target nonprofit organization.  Rule of thumb is a capital gift to be 20% - 30% of average annual giving.</t>
  </si>
  <si>
    <t>The prospect was a patient at the target nonprofit organization.</t>
  </si>
  <si>
    <t>A family member was a patient at the target nonprofit organization.</t>
  </si>
  <si>
    <t>Prospect or family member has been a patient many times at the target nonprofit organization.</t>
  </si>
  <si>
    <t>Prospect has a personal relationship or highly respects a physician who works for or is affiliated with the target nonprofit organization.</t>
  </si>
  <si>
    <t>EXAMPLAR DONOR</t>
  </si>
  <si>
    <t>Prospect wealth research conducted by researcher</t>
  </si>
  <si>
    <t>Researcher completes as much as possible the calculator variables</t>
  </si>
  <si>
    <t>Relationship manager completes / corrects calculator variables</t>
  </si>
  <si>
    <t>Determine if calculator results are reasonable &gt; make adjustments as needed</t>
  </si>
  <si>
    <t>Relationship manager determines solicitation team</t>
  </si>
  <si>
    <t>Vet ask and goal recommendations and solicitation team with senior team at weekly meeting</t>
  </si>
  <si>
    <t>Arrive at final ask value and solicitation team</t>
  </si>
  <si>
    <t>V</t>
  </si>
  <si>
    <t>Age (spouse A)</t>
  </si>
  <si>
    <t>Age (spouse B):</t>
  </si>
  <si>
    <t>Largest known cash gift to another org.:</t>
  </si>
  <si>
    <t>Philanthropy capacity estimate (Wealth Engine, DonorSearch, etc.)(bottom of range):</t>
  </si>
  <si>
    <t>PROFILE</t>
  </si>
  <si>
    <t>COMPLETE THE APPROPRIATE SECTION BELOW</t>
  </si>
  <si>
    <t>Arts - Performing</t>
  </si>
  <si>
    <t>Annual subscriber/member:</t>
  </si>
  <si>
    <t>Is an artist in the field:</t>
  </si>
  <si>
    <t>Uses benefits of giving society:</t>
  </si>
  <si>
    <t>GIFT GOAL/3 YEARS</t>
  </si>
  <si>
    <t>EXPLORE PLANNED GIFT-A</t>
  </si>
  <si>
    <t>EXPLORE PLANNED GIFT-B</t>
  </si>
  <si>
    <t>Arts - Visual</t>
  </si>
  <si>
    <t>Donated pieces of art:</t>
  </si>
  <si>
    <t>Civic/Advocacy</t>
  </si>
  <si>
    <t>Annual member:</t>
  </si>
  <si>
    <t>Participated in mission activity:</t>
  </si>
  <si>
    <t>Personally experienced an injustice:</t>
  </si>
  <si>
    <t>Culture/Museum</t>
  </si>
  <si>
    <t>Disease Focused</t>
  </si>
  <si>
    <t>Has the disease:</t>
  </si>
  <si>
    <t>Family member has the disease:</t>
  </si>
  <si>
    <t>Had the disease:</t>
  </si>
  <si>
    <t>Family member had the disease:</t>
  </si>
  <si>
    <t>The disease can result in death:</t>
  </si>
  <si>
    <t>The disease is typically regarded as a chronic condition:</t>
  </si>
  <si>
    <t>The disease is both chronic and can lead to death:</t>
  </si>
  <si>
    <t>Education (K-12)</t>
  </si>
  <si>
    <t>Alumni of the school:</t>
  </si>
  <si>
    <t>Child in the school:</t>
  </si>
  <si>
    <t>Child graduated from the school:</t>
  </si>
  <si>
    <t>Child is involved alum:</t>
  </si>
  <si>
    <t>Education - College</t>
  </si>
  <si>
    <t>Foundation/Grant Making</t>
  </si>
  <si>
    <t>Has a donor advised fund:</t>
  </si>
  <si>
    <t>Gifts to a field of interest fund:</t>
  </si>
  <si>
    <t>Health/Allied Health Care</t>
  </si>
  <si>
    <t>Has used the service:</t>
  </si>
  <si>
    <t>Family member has used the service:</t>
  </si>
  <si>
    <t>Used the service many times:</t>
  </si>
  <si>
    <t>Close with a clinician:</t>
  </si>
  <si>
    <t>Human Service</t>
  </si>
  <si>
    <t>Once benefited from the service:</t>
  </si>
  <si>
    <t>Family member benefited from the service:</t>
  </si>
  <si>
    <t>Religion</t>
  </si>
  <si>
    <t>Regular attendee:</t>
  </si>
  <si>
    <t>Regular practitioner:</t>
  </si>
  <si>
    <t>PROFILE NAME:</t>
  </si>
  <si>
    <t>John &amp; Sarah Wells</t>
  </si>
  <si>
    <t>DONOR NAME HERE</t>
  </si>
  <si>
    <t>Used the hospital many times (3+):</t>
  </si>
  <si>
    <t>Strong relationship with a doctor at  hospital:</t>
  </si>
  <si>
    <t>GOAL</t>
  </si>
  <si>
    <t>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</si>
</sst>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.5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1"/>
      <color rgb="FFC00000"/>
      <name val="Times New Roman"/>
      <family val="1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 readingOrder="1"/>
    </xf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0" fontId="2" fillId="0" borderId="5" xfId="0" applyFont="1" applyBorder="1"/>
    <xf numFmtId="0" fontId="8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0" fillId="0" borderId="0" xfId="0" applyFont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8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5" fillId="0" borderId="8" xfId="0" applyFont="1" applyBorder="1"/>
    <xf numFmtId="0" fontId="2" fillId="0" borderId="8" xfId="0" applyFont="1" applyBorder="1" applyAlignment="1">
      <alignment wrapText="1"/>
    </xf>
    <xf numFmtId="0" fontId="5" fillId="0" borderId="9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6" fillId="4" borderId="0" xfId="0" applyFont="1" applyFill="1" applyAlignment="1">
      <alignment horizontal="center" vertical="center"/>
    </xf>
    <xf numFmtId="0" fontId="0" fillId="0" borderId="0" xfId="0" applyFont="1" applyAlignment="1">
      <alignment wrapText="1"/>
    </xf>
    <xf numFmtId="0" fontId="3" fillId="0" borderId="3" xfId="0" applyFont="1" applyBorder="1" applyAlignment="1" applyProtection="1">
      <alignment horizontal="center"/>
      <protection locked="0" hidden="1"/>
    </xf>
    <xf numFmtId="0" fontId="6" fillId="0" borderId="4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Protection="1">
      <protection locked="0" hidden="1"/>
    </xf>
    <xf numFmtId="0" fontId="2" fillId="0" borderId="4" xfId="0" applyFont="1" applyBorder="1" applyProtection="1">
      <protection locked="0" hidden="1"/>
    </xf>
    <xf numFmtId="0" fontId="7" fillId="0" borderId="1" xfId="0" applyFont="1" applyBorder="1" applyAlignment="1" applyProtection="1">
      <alignment wrapText="1"/>
      <protection locked="0" hidden="1"/>
    </xf>
    <xf numFmtId="43" fontId="2" fillId="0" borderId="2" xfId="0" applyNumberFormat="1" applyFont="1" applyBorder="1" applyProtection="1">
      <protection locked="0" hidden="1"/>
    </xf>
    <xf numFmtId="0" fontId="7" fillId="0" borderId="3" xfId="0" applyFont="1" applyBorder="1" applyAlignment="1" applyProtection="1">
      <alignment wrapText="1"/>
      <protection locked="0" hidden="1"/>
    </xf>
    <xf numFmtId="164" fontId="2" fillId="0" borderId="4" xfId="0" applyNumberFormat="1" applyFont="1" applyBorder="1" applyAlignment="1" applyProtection="1">
      <alignment horizontal="left" indent="11"/>
      <protection locked="0" hidden="1"/>
    </xf>
    <xf numFmtId="164" fontId="8" fillId="0" borderId="4" xfId="2" applyNumberFormat="1" applyFont="1" applyBorder="1" applyAlignment="1" applyProtection="1">
      <protection locked="0" hidden="1"/>
    </xf>
    <xf numFmtId="0" fontId="2" fillId="0" borderId="0" xfId="0" applyFont="1" applyProtection="1">
      <protection locked="0" hidden="1"/>
    </xf>
    <xf numFmtId="164" fontId="8" fillId="0" borderId="3" xfId="0" applyNumberFormat="1" applyFont="1" applyBorder="1" applyAlignment="1" applyProtection="1">
      <alignment wrapText="1"/>
      <protection locked="0" hidden="1"/>
    </xf>
    <xf numFmtId="0" fontId="8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5" borderId="3" xfId="0" applyFont="1" applyFill="1" applyBorder="1" applyAlignment="1" applyProtection="1">
      <alignment horizontal="center"/>
      <protection locked="0" hidden="1"/>
    </xf>
    <xf numFmtId="0" fontId="6" fillId="5" borderId="4" xfId="0" applyFont="1" applyFill="1" applyBorder="1" applyAlignment="1" applyProtection="1">
      <alignment horizontal="center" vertical="center"/>
      <protection locked="0" hidden="1"/>
    </xf>
    <xf numFmtId="0" fontId="2" fillId="5" borderId="3" xfId="0" applyFont="1" applyFill="1" applyBorder="1" applyProtection="1">
      <protection locked="0" hidden="1"/>
    </xf>
    <xf numFmtId="0" fontId="2" fillId="5" borderId="4" xfId="0" applyFont="1" applyFill="1" applyBorder="1" applyAlignment="1" applyProtection="1">
      <protection locked="0" hidden="1"/>
    </xf>
    <xf numFmtId="165" fontId="2" fillId="5" borderId="4" xfId="1" applyNumberFormat="1" applyFont="1" applyFill="1" applyBorder="1" applyAlignment="1" applyProtection="1">
      <protection locked="0" hidden="1"/>
    </xf>
    <xf numFmtId="165" fontId="2" fillId="5" borderId="4" xfId="0" applyNumberFormat="1" applyFont="1" applyFill="1" applyBorder="1" applyAlignment="1" applyProtection="1">
      <protection locked="0" hidden="1"/>
    </xf>
    <xf numFmtId="0" fontId="7" fillId="5" borderId="1" xfId="0" applyFont="1" applyFill="1" applyBorder="1" applyAlignment="1" applyProtection="1">
      <alignment wrapText="1"/>
      <protection locked="0" hidden="1"/>
    </xf>
    <xf numFmtId="43" fontId="2" fillId="5" borderId="2" xfId="0" applyNumberFormat="1" applyFont="1" applyFill="1" applyBorder="1" applyProtection="1">
      <protection locked="0" hidden="1"/>
    </xf>
    <xf numFmtId="0" fontId="7" fillId="5" borderId="3" xfId="0" applyFont="1" applyFill="1" applyBorder="1" applyAlignment="1" applyProtection="1">
      <alignment wrapText="1"/>
      <protection locked="0" hidden="1"/>
    </xf>
    <xf numFmtId="164" fontId="2" fillId="5" borderId="4" xfId="0" applyNumberFormat="1" applyFont="1" applyFill="1" applyBorder="1" applyAlignment="1" applyProtection="1">
      <alignment horizontal="left" indent="11"/>
      <protection locked="0" hidden="1"/>
    </xf>
    <xf numFmtId="164" fontId="8" fillId="5" borderId="3" xfId="0" applyNumberFormat="1" applyFont="1" applyFill="1" applyBorder="1" applyAlignment="1" applyProtection="1">
      <alignment wrapText="1"/>
      <protection locked="0" hidden="1"/>
    </xf>
    <xf numFmtId="164" fontId="8" fillId="5" borderId="4" xfId="2" applyNumberFormat="1" applyFont="1" applyFill="1" applyBorder="1" applyAlignment="1" applyProtection="1">
      <protection locked="0" hidden="1"/>
    </xf>
    <xf numFmtId="9" fontId="8" fillId="5" borderId="5" xfId="3" applyFont="1" applyFill="1" applyBorder="1" applyAlignment="1" applyProtection="1">
      <alignment wrapText="1"/>
      <protection locked="0" hidden="1"/>
    </xf>
    <xf numFmtId="43" fontId="2" fillId="5" borderId="7" xfId="1" applyFont="1" applyFill="1" applyBorder="1" applyProtection="1">
      <protection locked="0" hidden="1"/>
    </xf>
    <xf numFmtId="0" fontId="2" fillId="5" borderId="4" xfId="0" applyFont="1" applyFill="1" applyBorder="1" applyProtection="1">
      <protection locked="0" hidden="1"/>
    </xf>
    <xf numFmtId="165" fontId="2" fillId="0" borderId="3" xfId="1" applyNumberFormat="1" applyFont="1" applyFill="1" applyBorder="1" applyProtection="1">
      <protection locked="0" hidden="1"/>
    </xf>
    <xf numFmtId="9" fontId="8" fillId="0" borderId="7" xfId="3" applyFont="1" applyBorder="1" applyProtection="1">
      <protection locked="0" hidden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5" fontId="8" fillId="5" borderId="3" xfId="0" applyNumberFormat="1" applyFont="1" applyFill="1" applyBorder="1" applyAlignment="1" applyProtection="1">
      <alignment wrapText="1"/>
      <protection locked="0" hidden="1"/>
    </xf>
    <xf numFmtId="5" fontId="8" fillId="0" borderId="3" xfId="0" applyNumberFormat="1" applyFont="1" applyBorder="1" applyAlignment="1" applyProtection="1">
      <alignment wrapText="1"/>
      <protection locked="0" hidden="1"/>
    </xf>
    <xf numFmtId="0" fontId="2" fillId="0" borderId="0" xfId="0" applyFont="1" applyFill="1" applyBorder="1"/>
    <xf numFmtId="164" fontId="8" fillId="0" borderId="3" xfId="0" applyNumberFormat="1" applyFont="1" applyBorder="1" applyAlignment="1" applyProtection="1">
      <alignment horizontal="center" wrapText="1"/>
      <protection locked="0" hidden="1"/>
    </xf>
    <xf numFmtId="0" fontId="3" fillId="2" borderId="0" xfId="0" applyFont="1" applyFill="1" applyAlignment="1">
      <alignment horizontal="right"/>
    </xf>
    <xf numFmtId="0" fontId="5" fillId="0" borderId="0" xfId="0" applyFont="1" applyAlignment="1">
      <alignment horizontal="left" vertical="center" readingOrder="1"/>
    </xf>
    <xf numFmtId="0" fontId="5" fillId="0" borderId="0" xfId="0" applyFont="1" applyAlignment="1">
      <alignment horizontal="left" vertical="center" wrapText="1" readingOrder="1"/>
    </xf>
    <xf numFmtId="0" fontId="2" fillId="0" borderId="4" xfId="0" applyFont="1" applyBorder="1"/>
    <xf numFmtId="0" fontId="11" fillId="0" borderId="17" xfId="0" applyFont="1" applyFill="1" applyBorder="1" applyAlignment="1">
      <alignment horizontal="center" wrapText="1"/>
    </xf>
    <xf numFmtId="0" fontId="2" fillId="0" borderId="16" xfId="0" applyFont="1" applyFill="1" applyBorder="1"/>
    <xf numFmtId="0" fontId="2" fillId="3" borderId="3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0" xfId="0" applyFont="1" applyBorder="1"/>
    <xf numFmtId="0" fontId="5" fillId="0" borderId="0" xfId="0" applyFont="1" applyAlignment="1">
      <alignment horizontal="right" vertical="center" readingOrder="1"/>
    </xf>
    <xf numFmtId="165" fontId="2" fillId="0" borderId="3" xfId="1" applyNumberFormat="1" applyFont="1" applyBorder="1"/>
    <xf numFmtId="43" fontId="2" fillId="0" borderId="0" xfId="0" applyNumberFormat="1" applyFont="1" applyBorder="1"/>
    <xf numFmtId="165" fontId="2" fillId="0" borderId="8" xfId="1" applyNumberFormat="1" applyFont="1" applyFill="1" applyBorder="1" applyAlignment="1">
      <alignment horizontal="center"/>
    </xf>
    <xf numFmtId="43" fontId="2" fillId="0" borderId="0" xfId="0" applyNumberFormat="1" applyFont="1" applyFill="1" applyBorder="1"/>
    <xf numFmtId="164" fontId="2" fillId="0" borderId="0" xfId="2" applyNumberFormat="1" applyFont="1" applyBorder="1" applyAlignment="1">
      <alignment horizontal="left" indent="10"/>
    </xf>
    <xf numFmtId="0" fontId="2" fillId="0" borderId="9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left" indent="10"/>
    </xf>
    <xf numFmtId="164" fontId="3" fillId="0" borderId="0" xfId="2" applyNumberFormat="1" applyFont="1" applyBorder="1" applyAlignment="1"/>
    <xf numFmtId="164" fontId="3" fillId="0" borderId="0" xfId="2" applyNumberFormat="1" applyFont="1" applyFill="1" applyBorder="1" applyAlignment="1"/>
    <xf numFmtId="164" fontId="2" fillId="0" borderId="0" xfId="0" applyNumberFormat="1" applyFont="1" applyFill="1" applyBorder="1" applyAlignment="1">
      <alignment horizontal="left" indent="11"/>
    </xf>
    <xf numFmtId="0" fontId="2" fillId="0" borderId="5" xfId="0" applyFont="1" applyBorder="1" applyAlignment="1">
      <alignment horizontal="right"/>
    </xf>
    <xf numFmtId="9" fontId="2" fillId="0" borderId="6" xfId="3" applyFont="1" applyBorder="1"/>
    <xf numFmtId="9" fontId="2" fillId="0" borderId="0" xfId="3" applyFont="1" applyFill="1" applyBorder="1"/>
    <xf numFmtId="164" fontId="2" fillId="0" borderId="0" xfId="0" applyNumberFormat="1" applyFont="1" applyBorder="1" applyAlignment="1">
      <alignment horizontal="left" indent="10"/>
    </xf>
    <xf numFmtId="9" fontId="2" fillId="0" borderId="6" xfId="3" applyFont="1" applyFill="1" applyBorder="1"/>
    <xf numFmtId="0" fontId="3" fillId="5" borderId="4" xfId="0" applyFont="1" applyFill="1" applyBorder="1" applyAlignment="1" applyProtection="1">
      <alignment horizontal="center"/>
      <protection locked="0" hidden="1"/>
    </xf>
    <xf numFmtId="0" fontId="3" fillId="0" borderId="4" xfId="0" applyFont="1" applyBorder="1" applyAlignment="1" applyProtection="1">
      <alignment horizontal="center"/>
      <protection locked="0" hidden="1"/>
    </xf>
    <xf numFmtId="0" fontId="2" fillId="5" borderId="3" xfId="0" applyFont="1" applyFill="1" applyBorder="1" applyAlignment="1" applyProtection="1">
      <alignment horizontal="center"/>
      <protection locked="0" hidden="1"/>
    </xf>
    <xf numFmtId="5" fontId="2" fillId="5" borderId="3" xfId="2" applyNumberFormat="1" applyFont="1" applyFill="1" applyBorder="1" applyAlignment="1" applyProtection="1">
      <alignment horizontal="center"/>
      <protection locked="0" hidden="1"/>
    </xf>
    <xf numFmtId="5" fontId="2" fillId="5" borderId="3" xfId="0" applyNumberFormat="1" applyFont="1" applyFill="1" applyBorder="1" applyAlignment="1" applyProtection="1">
      <alignment horizontal="center"/>
      <protection locked="0" hidden="1"/>
    </xf>
    <xf numFmtId="165" fontId="2" fillId="5" borderId="3" xfId="1" applyNumberFormat="1" applyFont="1" applyFill="1" applyBorder="1" applyAlignment="1" applyProtection="1">
      <protection locked="0" hidden="1"/>
    </xf>
    <xf numFmtId="0" fontId="2" fillId="0" borderId="3" xfId="0" applyFont="1" applyFill="1" applyBorder="1" applyAlignment="1" applyProtection="1">
      <alignment horizontal="center"/>
      <protection locked="0" hidden="1"/>
    </xf>
    <xf numFmtId="5" fontId="2" fillId="0" borderId="3" xfId="2" applyNumberFormat="1" applyFont="1" applyFill="1" applyBorder="1" applyAlignment="1" applyProtection="1">
      <alignment horizontal="center"/>
      <protection locked="0" hidden="1"/>
    </xf>
    <xf numFmtId="5" fontId="2" fillId="0" borderId="3" xfId="0" applyNumberFormat="1" applyFont="1" applyFill="1" applyBorder="1" applyAlignment="1" applyProtection="1">
      <alignment horizontal="center"/>
      <protection locked="0" hidden="1"/>
    </xf>
    <xf numFmtId="0" fontId="12" fillId="3" borderId="0" xfId="0" applyFont="1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0" xfId="0" applyFont="1" applyFill="1"/>
    <xf numFmtId="0" fontId="0" fillId="6" borderId="0" xfId="0" applyFill="1" applyProtection="1">
      <protection locked="0" hidden="1"/>
    </xf>
    <xf numFmtId="0" fontId="2" fillId="6" borderId="0" xfId="0" applyFont="1" applyFill="1" applyProtection="1">
      <protection locked="0" hidden="1"/>
    </xf>
    <xf numFmtId="0" fontId="0" fillId="7" borderId="0" xfId="0" applyFill="1"/>
    <xf numFmtId="0" fontId="2" fillId="7" borderId="0" xfId="0" applyFont="1" applyFill="1"/>
    <xf numFmtId="0" fontId="0" fillId="7" borderId="0" xfId="0" applyFill="1" applyProtection="1">
      <protection locked="0" hidden="1"/>
    </xf>
    <xf numFmtId="0" fontId="2" fillId="7" borderId="0" xfId="0" applyFont="1" applyFill="1" applyProtection="1">
      <protection locked="0" hidden="1"/>
    </xf>
    <xf numFmtId="0" fontId="3" fillId="0" borderId="0" xfId="0" applyFont="1" applyFill="1" applyAlignment="1">
      <alignment horizontal="right"/>
    </xf>
    <xf numFmtId="0" fontId="13" fillId="0" borderId="3" xfId="0" applyFont="1" applyBorder="1" applyAlignment="1" applyProtection="1">
      <alignment horizontal="center"/>
      <protection locked="0" hidden="1"/>
    </xf>
    <xf numFmtId="164" fontId="8" fillId="5" borderId="1" xfId="0" applyNumberFormat="1" applyFont="1" applyFill="1" applyBorder="1" applyAlignment="1" applyProtection="1">
      <alignment wrapText="1"/>
      <protection locked="0" hidden="1"/>
    </xf>
    <xf numFmtId="164" fontId="8" fillId="0" borderId="1" xfId="0" applyNumberFormat="1" applyFont="1" applyBorder="1" applyAlignment="1" applyProtection="1">
      <alignment wrapText="1"/>
      <protection locked="0" hidden="1"/>
    </xf>
    <xf numFmtId="9" fontId="8" fillId="0" borderId="5" xfId="3" applyFont="1" applyFill="1" applyBorder="1" applyAlignment="1" applyProtection="1">
      <alignment wrapText="1"/>
      <protection locked="0" hidden="1"/>
    </xf>
    <xf numFmtId="164" fontId="3" fillId="0" borderId="1" xfId="0" applyNumberFormat="1" applyFont="1" applyFill="1" applyBorder="1" applyAlignment="1" applyProtection="1">
      <alignment wrapText="1"/>
      <protection locked="0" hidden="1"/>
    </xf>
    <xf numFmtId="164" fontId="3" fillId="0" borderId="16" xfId="2" applyNumberFormat="1" applyFont="1" applyBorder="1" applyAlignment="1">
      <alignment horizontal="left" indent="5"/>
    </xf>
    <xf numFmtId="164" fontId="3" fillId="0" borderId="1" xfId="0" applyNumberFormat="1" applyFont="1" applyBorder="1" applyAlignment="1" applyProtection="1">
      <alignment wrapText="1"/>
      <protection locked="0" hidden="1"/>
    </xf>
    <xf numFmtId="164" fontId="2" fillId="0" borderId="3" xfId="0" applyNumberFormat="1" applyFont="1" applyFill="1" applyBorder="1" applyAlignment="1">
      <alignment wrapText="1"/>
    </xf>
    <xf numFmtId="164" fontId="3" fillId="0" borderId="3" xfId="0" applyNumberFormat="1" applyFont="1" applyBorder="1" applyAlignment="1" applyProtection="1">
      <alignment horizontal="center" wrapText="1"/>
      <protection locked="0" hidden="1"/>
    </xf>
    <xf numFmtId="0" fontId="2" fillId="0" borderId="3" xfId="0" applyFont="1" applyFill="1" applyBorder="1" applyAlignment="1">
      <alignment wrapText="1"/>
    </xf>
    <xf numFmtId="5" fontId="3" fillId="0" borderId="3" xfId="0" applyNumberFormat="1" applyFont="1" applyFill="1" applyBorder="1" applyAlignment="1" applyProtection="1">
      <alignment wrapText="1"/>
      <protection locked="0" hidden="1"/>
    </xf>
    <xf numFmtId="164" fontId="2" fillId="0" borderId="0" xfId="2" applyNumberFormat="1" applyFont="1" applyBorder="1" applyAlignment="1">
      <alignment horizontal="left" indent="8"/>
    </xf>
    <xf numFmtId="5" fontId="3" fillId="0" borderId="3" xfId="0" applyNumberFormat="1" applyFont="1" applyBorder="1" applyAlignment="1" applyProtection="1">
      <alignment wrapText="1"/>
      <protection locked="0" hidden="1"/>
    </xf>
    <xf numFmtId="164" fontId="3" fillId="0" borderId="3" xfId="0" applyNumberFormat="1" applyFont="1" applyFill="1" applyBorder="1" applyAlignment="1" applyProtection="1">
      <alignment wrapText="1"/>
      <protection locked="0" hidden="1"/>
    </xf>
    <xf numFmtId="164" fontId="3" fillId="0" borderId="3" xfId="0" applyNumberFormat="1" applyFont="1" applyBorder="1" applyAlignment="1" applyProtection="1">
      <alignment wrapText="1"/>
      <protection locked="0" hidden="1"/>
    </xf>
    <xf numFmtId="9" fontId="3" fillId="0" borderId="5" xfId="3" applyFont="1" applyFill="1" applyBorder="1" applyAlignment="1" applyProtection="1">
      <alignment wrapText="1"/>
      <protection locked="0" hidden="1"/>
    </xf>
    <xf numFmtId="0" fontId="5" fillId="0" borderId="0" xfId="0" applyFont="1" applyAlignment="1">
      <alignment vertical="center" readingOrder="1"/>
    </xf>
    <xf numFmtId="0" fontId="5" fillId="0" borderId="8" xfId="0" applyFont="1" applyBorder="1" applyAlignment="1">
      <alignment vertical="center" wrapText="1" readingOrder="1"/>
    </xf>
    <xf numFmtId="0" fontId="5" fillId="0" borderId="8" xfId="0" applyFont="1" applyBorder="1" applyAlignment="1">
      <alignment vertical="center" readingOrder="1"/>
    </xf>
    <xf numFmtId="0" fontId="5" fillId="0" borderId="9" xfId="0" applyFont="1" applyBorder="1" applyAlignment="1">
      <alignment vertical="center" wrapText="1" readingOrder="1"/>
    </xf>
    <xf numFmtId="0" fontId="5" fillId="0" borderId="10" xfId="0" applyFont="1" applyBorder="1" applyAlignment="1">
      <alignment vertical="center" wrapText="1" readingOrder="1"/>
    </xf>
    <xf numFmtId="0" fontId="5" fillId="0" borderId="12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 wrapText="1" readingOrder="1"/>
    </xf>
    <xf numFmtId="0" fontId="5" fillId="0" borderId="14" xfId="0" applyFont="1" applyBorder="1" applyAlignment="1">
      <alignment vertical="center" wrapText="1" readingOrder="1"/>
    </xf>
    <xf numFmtId="165" fontId="5" fillId="0" borderId="3" xfId="0" applyNumberFormat="1" applyFont="1" applyBorder="1" applyProtection="1">
      <protection locked="0" hidden="1"/>
    </xf>
    <xf numFmtId="0" fontId="2" fillId="0" borderId="3" xfId="0" applyFont="1" applyBorder="1" applyAlignment="1" applyProtection="1">
      <alignment horizontal="center"/>
      <protection locked="0"/>
    </xf>
    <xf numFmtId="164" fontId="16" fillId="8" borderId="17" xfId="2" applyNumberFormat="1" applyFont="1" applyFill="1" applyBorder="1" applyAlignment="1">
      <alignment vertical="center"/>
    </xf>
    <xf numFmtId="0" fontId="15" fillId="6" borderId="0" xfId="0" applyFont="1" applyFill="1" applyBorder="1" applyAlignment="1">
      <alignment horizontal="center" vertical="center" wrapText="1"/>
    </xf>
    <xf numFmtId="164" fontId="17" fillId="9" borderId="8" xfId="2" applyNumberFormat="1" applyFont="1" applyFill="1" applyBorder="1" applyAlignment="1">
      <alignment vertical="center"/>
    </xf>
    <xf numFmtId="164" fontId="17" fillId="10" borderId="8" xfId="2" applyNumberFormat="1" applyFont="1" applyFill="1" applyBorder="1" applyAlignment="1">
      <alignment vertical="center"/>
    </xf>
    <xf numFmtId="164" fontId="8" fillId="5" borderId="2" xfId="2" applyNumberFormat="1" applyFont="1" applyFill="1" applyBorder="1" applyAlignment="1" applyProtection="1">
      <alignment horizontal="left" indent="9"/>
      <protection locked="0" hidden="1"/>
    </xf>
    <xf numFmtId="0" fontId="18" fillId="7" borderId="0" xfId="0" applyFont="1" applyFill="1"/>
    <xf numFmtId="0" fontId="0" fillId="7" borderId="0" xfId="0" applyFont="1" applyFill="1"/>
    <xf numFmtId="164" fontId="8" fillId="0" borderId="2" xfId="2" applyNumberFormat="1" applyFont="1" applyBorder="1" applyAlignment="1" applyProtection="1">
      <alignment horizontal="left" indent="8"/>
      <protection locked="0" hidden="1"/>
    </xf>
    <xf numFmtId="0" fontId="8" fillId="2" borderId="3" xfId="0" applyFont="1" applyFill="1" applyBorder="1" applyAlignment="1">
      <alignment horizontal="right"/>
    </xf>
    <xf numFmtId="164" fontId="8" fillId="2" borderId="18" xfId="0" applyNumberFormat="1" applyFont="1" applyFill="1" applyBorder="1" applyAlignment="1" applyProtection="1">
      <alignment wrapText="1"/>
      <protection locked="0" hidden="1"/>
    </xf>
    <xf numFmtId="164" fontId="8" fillId="2" borderId="17" xfId="0" applyNumberFormat="1" applyFont="1" applyFill="1" applyBorder="1" applyAlignment="1" applyProtection="1">
      <alignment wrapText="1"/>
      <protection locked="0" hidden="1"/>
    </xf>
    <xf numFmtId="0" fontId="3" fillId="2" borderId="3" xfId="0" applyFont="1" applyFill="1" applyBorder="1" applyAlignment="1">
      <alignment horizontal="right"/>
    </xf>
    <xf numFmtId="164" fontId="3" fillId="2" borderId="18" xfId="0" applyNumberFormat="1" applyFont="1" applyFill="1" applyBorder="1" applyAlignment="1" applyProtection="1">
      <alignment wrapText="1"/>
      <protection locked="0" hidden="1"/>
    </xf>
    <xf numFmtId="164" fontId="3" fillId="2" borderId="20" xfId="2" applyNumberFormat="1" applyFont="1" applyFill="1" applyBorder="1" applyAlignment="1">
      <alignment horizontal="left" indent="5"/>
    </xf>
    <xf numFmtId="164" fontId="3" fillId="2" borderId="17" xfId="0" applyNumberFormat="1" applyFont="1" applyFill="1" applyBorder="1" applyAlignment="1" applyProtection="1">
      <alignment wrapText="1"/>
      <protection locked="0" hidden="1"/>
    </xf>
    <xf numFmtId="164" fontId="3" fillId="0" borderId="0" xfId="2" applyNumberFormat="1" applyFont="1" applyFill="1" applyBorder="1" applyAlignment="1">
      <alignment horizontal="left" indent="10"/>
    </xf>
    <xf numFmtId="164" fontId="8" fillId="0" borderId="4" xfId="0" applyNumberFormat="1" applyFont="1" applyBorder="1" applyAlignment="1" applyProtection="1">
      <alignment horizontal="left" indent="7"/>
      <protection locked="0" hidden="1"/>
    </xf>
    <xf numFmtId="164" fontId="8" fillId="0" borderId="4" xfId="2" applyNumberFormat="1" applyFont="1" applyBorder="1" applyAlignment="1" applyProtection="1">
      <alignment horizontal="left" indent="6"/>
      <protection locked="0" hidden="1"/>
    </xf>
    <xf numFmtId="164" fontId="8" fillId="2" borderId="19" xfId="2" applyNumberFormat="1" applyFont="1" applyFill="1" applyBorder="1" applyAlignment="1" applyProtection="1">
      <alignment horizontal="left" indent="6"/>
      <protection locked="0" hidden="1"/>
    </xf>
    <xf numFmtId="164" fontId="3" fillId="2" borderId="19" xfId="2" applyNumberFormat="1" applyFont="1" applyFill="1" applyBorder="1" applyAlignment="1" applyProtection="1">
      <alignment horizontal="left" indent="6"/>
      <protection locked="0" hidden="1"/>
    </xf>
    <xf numFmtId="164" fontId="3" fillId="0" borderId="4" xfId="2" applyNumberFormat="1" applyFont="1" applyBorder="1" applyAlignment="1" applyProtection="1">
      <alignment horizontal="left" indent="6"/>
      <protection locked="0" hidden="1"/>
    </xf>
    <xf numFmtId="165" fontId="2" fillId="0" borderId="3" xfId="1" applyNumberFormat="1" applyFont="1" applyFill="1" applyBorder="1" applyAlignment="1" applyProtection="1">
      <alignment horizontal="center"/>
      <protection locked="0" hidden="1"/>
    </xf>
    <xf numFmtId="0" fontId="3" fillId="5" borderId="1" xfId="0" applyFont="1" applyFill="1" applyBorder="1" applyAlignment="1" applyProtection="1">
      <alignment horizontal="center"/>
      <protection locked="0" hidden="1"/>
    </xf>
    <xf numFmtId="0" fontId="3" fillId="5" borderId="2" xfId="0" applyFont="1" applyFill="1" applyBorder="1" applyAlignment="1" applyProtection="1">
      <alignment horizontal="center"/>
      <protection locked="0" hidden="1"/>
    </xf>
    <xf numFmtId="0" fontId="3" fillId="0" borderId="1" xfId="0" applyFont="1" applyBorder="1" applyAlignment="1" applyProtection="1">
      <alignment horizontal="center"/>
      <protection locked="0" hidden="1"/>
    </xf>
    <xf numFmtId="0" fontId="3" fillId="0" borderId="2" xfId="0" applyFont="1" applyBorder="1" applyAlignment="1" applyProtection="1">
      <alignment horizontal="center"/>
      <protection locked="0" hidden="1"/>
    </xf>
    <xf numFmtId="0" fontId="14" fillId="7" borderId="0" xfId="0" applyFont="1" applyFill="1" applyBorder="1" applyAlignment="1" applyProtection="1">
      <alignment horizontal="left"/>
      <protection locked="0" hidden="1"/>
    </xf>
    <xf numFmtId="0" fontId="2" fillId="7" borderId="0" xfId="0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272143</xdr:colOff>
      <xdr:row>6</xdr:row>
      <xdr:rowOff>81643</xdr:rowOff>
    </xdr:from>
    <xdr:ext cx="3119637" cy="219028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06268" y="1224643"/>
          <a:ext cx="3119637" cy="21902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bg1"/>
              </a:solidFill>
            </a:rPr>
            <a:t>MAJOR</a:t>
          </a:r>
          <a:r>
            <a:rPr lang="en-US" sz="1800" b="1" baseline="0">
              <a:solidFill>
                <a:schemeClr val="bg1"/>
              </a:solidFill>
            </a:rPr>
            <a:t> GIFT ASK CALCULATOR</a:t>
          </a:r>
        </a:p>
        <a:p>
          <a:endParaRPr lang="en-US" sz="1800" b="1" baseline="0">
            <a:solidFill>
              <a:schemeClr val="bg1"/>
            </a:solidFill>
          </a:endParaRPr>
        </a:p>
        <a:p>
          <a:r>
            <a:rPr lang="en-US" sz="1800" b="1" baseline="0">
              <a:solidFill>
                <a:schemeClr val="bg1"/>
              </a:solidFill>
            </a:rPr>
            <a:t>is an exclusive offering of</a:t>
          </a:r>
        </a:p>
        <a:p>
          <a:endParaRPr lang="en-US" sz="1800" b="1" baseline="0">
            <a:solidFill>
              <a:schemeClr val="bg1"/>
            </a:solidFill>
          </a:endParaRPr>
        </a:p>
        <a:p>
          <a:r>
            <a:rPr lang="en-US" sz="1800" b="1" baseline="0">
              <a:solidFill>
                <a:schemeClr val="bg1"/>
              </a:solidFill>
            </a:rPr>
            <a:t>COPLEY RAFF INC.</a:t>
          </a:r>
        </a:p>
        <a:p>
          <a:endParaRPr lang="en-US" sz="1100" b="1" baseline="0">
            <a:solidFill>
              <a:schemeClr val="bg1"/>
            </a:solidFill>
          </a:endParaRPr>
        </a:p>
        <a:p>
          <a:r>
            <a:rPr lang="en-US" sz="1100" b="1" baseline="0">
              <a:solidFill>
                <a:schemeClr val="bg1"/>
              </a:solidFill>
            </a:rPr>
            <a:t>www.copleyraff.com</a:t>
          </a:r>
        </a:p>
        <a:p>
          <a:endParaRPr lang="en-US" sz="1100" b="1" baseline="0">
            <a:solidFill>
              <a:schemeClr val="bg1"/>
            </a:solidFill>
          </a:endParaRPr>
        </a:p>
        <a:p>
          <a:r>
            <a:rPr lang="en-US" sz="1100" b="1" baseline="0">
              <a:solidFill>
                <a:schemeClr val="bg1"/>
              </a:solidFill>
            </a:rPr>
            <a:t>© Copley Raff Inc. 2015</a:t>
          </a:r>
          <a:endParaRPr lang="en-US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109723</xdr:colOff>
      <xdr:row>29</xdr:row>
      <xdr:rowOff>212890</xdr:rowOff>
    </xdr:from>
    <xdr:ext cx="5402633" cy="9377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49123" y="6137440"/>
          <a:ext cx="5402633" cy="937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 baseline="0">
              <a:solidFill>
                <a:schemeClr val="bg1"/>
              </a:solidFill>
            </a:rPr>
            <a:t>GOAL: amount of a three year pledge that is hoped for</a:t>
          </a:r>
        </a:p>
        <a:p>
          <a:r>
            <a:rPr lang="en-US" sz="1800" b="1" baseline="0">
              <a:solidFill>
                <a:schemeClr val="bg1"/>
              </a:solidFill>
            </a:rPr>
            <a:t>ASK: amount the prospect is asked for that may result </a:t>
          </a:r>
        </a:p>
        <a:p>
          <a:r>
            <a:rPr lang="en-US" sz="1800" b="1" baseline="0">
              <a:solidFill>
                <a:schemeClr val="bg1"/>
              </a:solidFill>
            </a:rPr>
            <a:t>in the ask goal being realized</a:t>
          </a:r>
        </a:p>
      </xdr:txBody>
    </xdr:sp>
    <xdr:clientData/>
  </xdr:oneCellAnchor>
  <xdr:oneCellAnchor>
    <xdr:from>
      <xdr:col>5</xdr:col>
      <xdr:colOff>140029</xdr:colOff>
      <xdr:row>25</xdr:row>
      <xdr:rowOff>153018</xdr:rowOff>
    </xdr:from>
    <xdr:ext cx="2864502" cy="37414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78484" y="5106018"/>
          <a:ext cx="2864502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 baseline="0">
              <a:solidFill>
                <a:schemeClr val="bg1"/>
              </a:solidFill>
            </a:rPr>
            <a:t>Round result as appropriate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3"/>
  <sheetViews>
    <sheetView showRowColHeaders="0" tabSelected="1" zoomScale="120" zoomScaleNormal="120" workbookViewId="0">
      <selection activeCell="D9" sqref="D9"/>
    </sheetView>
  </sheetViews>
  <sheetFormatPr defaultRowHeight="15" x14ac:dyDescent="0.25"/>
  <cols>
    <col min="1" max="1" width="49.28515625" style="2" customWidth="1"/>
    <col min="2" max="2" width="26.85546875" style="34" customWidth="1"/>
    <col min="3" max="3" width="29.5703125" style="34" hidden="1" customWidth="1"/>
    <col min="4" max="4" width="30.5703125" style="34" customWidth="1"/>
    <col min="5" max="5" width="26.5703125" style="34" hidden="1" customWidth="1"/>
    <col min="6" max="6" width="10" style="100" customWidth="1"/>
    <col min="7" max="7" width="93.5703125" style="97" customWidth="1"/>
    <col min="8" max="8" width="4.140625" style="97" customWidth="1"/>
    <col min="9" max="9" width="24.140625" style="97" hidden="1" customWidth="1"/>
    <col min="10" max="10" width="26.42578125" style="97" hidden="1" customWidth="1"/>
    <col min="11" max="11" width="18.5703125" style="97" hidden="1" customWidth="1"/>
    <col min="12" max="12" width="24" style="97" hidden="1" customWidth="1"/>
    <col min="13" max="20" width="9.140625" style="97"/>
  </cols>
  <sheetData>
    <row r="1" spans="1:20" x14ac:dyDescent="0.25">
      <c r="A1" s="62" t="s">
        <v>23</v>
      </c>
      <c r="B1" s="155" t="s">
        <v>71</v>
      </c>
      <c r="C1" s="156"/>
      <c r="D1" s="157"/>
      <c r="E1" s="158"/>
      <c r="F1" s="159"/>
      <c r="G1" s="159"/>
    </row>
    <row r="2" spans="1:20" x14ac:dyDescent="0.25">
      <c r="A2" s="62" t="s">
        <v>128</v>
      </c>
      <c r="B2" s="38" t="s">
        <v>129</v>
      </c>
      <c r="C2" s="87"/>
      <c r="D2" s="107" t="s">
        <v>130</v>
      </c>
      <c r="E2" s="88"/>
      <c r="F2" s="159"/>
      <c r="G2" s="159"/>
    </row>
    <row r="3" spans="1:20" x14ac:dyDescent="0.25">
      <c r="A3" s="106"/>
      <c r="B3" s="38"/>
      <c r="C3" s="87"/>
      <c r="D3" s="25"/>
      <c r="E3" s="88"/>
      <c r="F3" s="159"/>
      <c r="G3" s="159"/>
    </row>
    <row r="4" spans="1:20" s="1" customFormat="1" x14ac:dyDescent="0.25">
      <c r="A4" s="3" t="s">
        <v>20</v>
      </c>
      <c r="B4" s="38" t="s">
        <v>84</v>
      </c>
      <c r="C4" s="39" t="s">
        <v>21</v>
      </c>
      <c r="D4" s="25" t="s">
        <v>84</v>
      </c>
      <c r="E4" s="26" t="s">
        <v>21</v>
      </c>
      <c r="F4" s="159"/>
      <c r="G4" s="159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</row>
    <row r="5" spans="1:20" x14ac:dyDescent="0.25">
      <c r="A5" s="63" t="s">
        <v>80</v>
      </c>
      <c r="B5" s="89">
        <v>55</v>
      </c>
      <c r="C5" s="41">
        <f>(B5*0.1)-(B5*0.02)</f>
        <v>4.4000000000000004</v>
      </c>
      <c r="D5" s="93"/>
      <c r="E5" s="41">
        <f>(D5*0.1)-(D5*0.02)</f>
        <v>0</v>
      </c>
      <c r="F5" s="159"/>
      <c r="G5" s="159"/>
    </row>
    <row r="6" spans="1:20" x14ac:dyDescent="0.25">
      <c r="A6" s="63" t="s">
        <v>81</v>
      </c>
      <c r="B6" s="89">
        <v>55</v>
      </c>
      <c r="C6" s="41">
        <f>(B6*0.1)-(B6*0.02)</f>
        <v>4.4000000000000004</v>
      </c>
      <c r="D6" s="93"/>
      <c r="E6" s="41">
        <f>(D6*0.1)-(D6*0.02)</f>
        <v>0</v>
      </c>
      <c r="F6" s="159"/>
      <c r="G6" s="159"/>
    </row>
    <row r="7" spans="1:20" x14ac:dyDescent="0.25">
      <c r="A7" s="63" t="s">
        <v>22</v>
      </c>
      <c r="B7" s="89">
        <v>0</v>
      </c>
      <c r="C7" s="41">
        <f>B7*-35</f>
        <v>0</v>
      </c>
      <c r="D7" s="93"/>
      <c r="E7" s="41">
        <f>D7*-35</f>
        <v>0</v>
      </c>
      <c r="F7" s="159"/>
      <c r="G7" s="159"/>
    </row>
    <row r="8" spans="1:20" x14ac:dyDescent="0.25">
      <c r="A8" s="63" t="s">
        <v>1</v>
      </c>
      <c r="B8" s="90">
        <v>150000</v>
      </c>
      <c r="C8" s="42">
        <f>B8*0.0001</f>
        <v>15</v>
      </c>
      <c r="D8" s="94"/>
      <c r="E8" s="42">
        <f>D8*0.0001</f>
        <v>0</v>
      </c>
      <c r="F8" s="159"/>
      <c r="G8" s="159"/>
    </row>
    <row r="9" spans="1:20" x14ac:dyDescent="0.25">
      <c r="A9" s="63" t="s">
        <v>2</v>
      </c>
      <c r="B9" s="89">
        <v>8</v>
      </c>
      <c r="C9" s="41">
        <f>B9*2</f>
        <v>16</v>
      </c>
      <c r="D9" s="93"/>
      <c r="E9" s="41">
        <f>D9*2</f>
        <v>0</v>
      </c>
      <c r="F9" s="159"/>
      <c r="G9" s="159"/>
    </row>
    <row r="10" spans="1:20" x14ac:dyDescent="0.25">
      <c r="A10" s="63" t="s">
        <v>3</v>
      </c>
      <c r="B10" s="91">
        <f>B8/B9</f>
        <v>18750</v>
      </c>
      <c r="C10" s="42">
        <f>B10*0.001</f>
        <v>18.75</v>
      </c>
      <c r="D10" s="95" t="e">
        <f>D8/D9</f>
        <v>#DIV/0!</v>
      </c>
      <c r="E10" s="42" t="e">
        <f>D10*0.001</f>
        <v>#DIV/0!</v>
      </c>
      <c r="F10" s="159"/>
      <c r="G10" s="159"/>
    </row>
    <row r="11" spans="1:20" x14ac:dyDescent="0.25">
      <c r="A11" s="63" t="s">
        <v>4</v>
      </c>
      <c r="B11" s="90">
        <v>80000</v>
      </c>
      <c r="C11" s="42">
        <f>B11*0.001</f>
        <v>80</v>
      </c>
      <c r="D11" s="94"/>
      <c r="E11" s="42">
        <f>D11*0.0001</f>
        <v>0</v>
      </c>
      <c r="F11" s="159"/>
      <c r="G11" s="159"/>
    </row>
    <row r="12" spans="1:20" x14ac:dyDescent="0.25">
      <c r="A12" s="63" t="s">
        <v>82</v>
      </c>
      <c r="B12" s="90">
        <v>15000</v>
      </c>
      <c r="C12" s="42">
        <f>(B12/B11)*10</f>
        <v>1.875</v>
      </c>
      <c r="D12" s="94"/>
      <c r="E12" s="42" t="e">
        <f>(D12/D11)*10</f>
        <v>#DIV/0!</v>
      </c>
      <c r="F12" s="159"/>
      <c r="G12" s="159"/>
    </row>
    <row r="13" spans="1:20" ht="30" x14ac:dyDescent="0.25">
      <c r="A13" s="64" t="s">
        <v>83</v>
      </c>
      <c r="B13" s="90">
        <v>50000</v>
      </c>
      <c r="C13" s="42">
        <f>(B13/(B11*3))*10</f>
        <v>2.0833333333333335</v>
      </c>
      <c r="D13" s="94"/>
      <c r="E13" s="42" t="e">
        <f>(D13/(D11*3))*10</f>
        <v>#DIV/0!</v>
      </c>
      <c r="F13" s="159"/>
      <c r="G13" s="159"/>
    </row>
    <row r="14" spans="1:20" x14ac:dyDescent="0.25">
      <c r="A14" s="63" t="s">
        <v>5</v>
      </c>
      <c r="B14" s="92">
        <v>0</v>
      </c>
      <c r="C14" s="43">
        <f>B14*10</f>
        <v>0</v>
      </c>
      <c r="D14" s="53"/>
      <c r="E14" s="43">
        <f>D14*10</f>
        <v>0</v>
      </c>
      <c r="F14" s="159"/>
      <c r="G14" s="159"/>
    </row>
    <row r="15" spans="1:20" x14ac:dyDescent="0.25">
      <c r="A15" s="63" t="s">
        <v>6</v>
      </c>
      <c r="B15" s="92">
        <v>0</v>
      </c>
      <c r="C15" s="43">
        <f>B15*5</f>
        <v>0</v>
      </c>
      <c r="D15" s="53"/>
      <c r="E15" s="43">
        <f>D15*5</f>
        <v>0</v>
      </c>
      <c r="F15" s="159"/>
      <c r="G15" s="159"/>
    </row>
    <row r="16" spans="1:20" x14ac:dyDescent="0.25">
      <c r="A16" s="63" t="s">
        <v>7</v>
      </c>
      <c r="B16" s="92">
        <v>1</v>
      </c>
      <c r="C16" s="43">
        <f>B16*5</f>
        <v>5</v>
      </c>
      <c r="D16" s="53"/>
      <c r="E16" s="43">
        <f>D16*5</f>
        <v>0</v>
      </c>
      <c r="F16" s="159"/>
      <c r="G16" s="159"/>
    </row>
    <row r="17" spans="1:12" x14ac:dyDescent="0.25">
      <c r="A17" s="63" t="s">
        <v>33</v>
      </c>
      <c r="B17" s="92">
        <v>1</v>
      </c>
      <c r="C17" s="43">
        <f>B17*-5</f>
        <v>-5</v>
      </c>
      <c r="D17" s="53"/>
      <c r="E17" s="43">
        <f>D17*-5</f>
        <v>0</v>
      </c>
      <c r="F17" s="159"/>
      <c r="G17" s="159"/>
    </row>
    <row r="18" spans="1:12" x14ac:dyDescent="0.25">
      <c r="A18" s="63" t="s">
        <v>8</v>
      </c>
      <c r="B18" s="92">
        <v>1</v>
      </c>
      <c r="C18" s="43">
        <f>B18*3</f>
        <v>3</v>
      </c>
      <c r="D18" s="53"/>
      <c r="E18" s="43">
        <f>D18*3</f>
        <v>0</v>
      </c>
      <c r="F18" s="159"/>
      <c r="G18" s="159"/>
    </row>
    <row r="19" spans="1:12" x14ac:dyDescent="0.25">
      <c r="A19" s="63" t="s">
        <v>12</v>
      </c>
      <c r="B19" s="92">
        <v>1</v>
      </c>
      <c r="C19" s="43">
        <f>B19*3</f>
        <v>3</v>
      </c>
      <c r="D19" s="53"/>
      <c r="E19" s="43">
        <f>D19*3</f>
        <v>0</v>
      </c>
      <c r="F19" s="159"/>
      <c r="G19" s="159"/>
    </row>
    <row r="20" spans="1:12" x14ac:dyDescent="0.25">
      <c r="A20" s="63" t="s">
        <v>18</v>
      </c>
      <c r="B20" s="92">
        <v>0</v>
      </c>
      <c r="C20" s="43">
        <f>B20*10</f>
        <v>0</v>
      </c>
      <c r="D20" s="53"/>
      <c r="E20" s="43">
        <f>D20*10</f>
        <v>0</v>
      </c>
      <c r="F20" s="159"/>
      <c r="G20" s="159"/>
    </row>
    <row r="21" spans="1:12" x14ac:dyDescent="0.25">
      <c r="A21" s="2" t="s">
        <v>13</v>
      </c>
      <c r="B21" s="92">
        <v>1</v>
      </c>
      <c r="C21" s="43">
        <f>B21*5</f>
        <v>5</v>
      </c>
      <c r="D21" s="53"/>
      <c r="E21" s="43">
        <f>D21*5</f>
        <v>0</v>
      </c>
      <c r="F21" s="159"/>
      <c r="G21" s="159"/>
      <c r="I21" s="97" t="s">
        <v>133</v>
      </c>
      <c r="J21" s="97" t="s">
        <v>133</v>
      </c>
      <c r="K21" s="97" t="s">
        <v>134</v>
      </c>
      <c r="L21" s="97" t="s">
        <v>134</v>
      </c>
    </row>
    <row r="22" spans="1:12" ht="15.75" thickBot="1" x14ac:dyDescent="0.3">
      <c r="A22" s="63" t="s">
        <v>19</v>
      </c>
      <c r="B22" s="92">
        <v>0</v>
      </c>
      <c r="C22" s="43">
        <f>B22*1</f>
        <v>0</v>
      </c>
      <c r="D22" s="53"/>
      <c r="E22" s="43">
        <f>D22*1</f>
        <v>0</v>
      </c>
      <c r="F22" s="159"/>
      <c r="G22" s="159"/>
    </row>
    <row r="23" spans="1:12" ht="19.5" thickBot="1" x14ac:dyDescent="0.3">
      <c r="A23" s="63" t="s">
        <v>35</v>
      </c>
      <c r="B23" s="92">
        <v>1</v>
      </c>
      <c r="C23" s="43">
        <f>B23*10</f>
        <v>10</v>
      </c>
      <c r="D23" s="53"/>
      <c r="E23" s="43">
        <f>D23*10</f>
        <v>0</v>
      </c>
      <c r="F23" s="159"/>
      <c r="G23" s="159"/>
      <c r="I23" s="133">
        <f>C29</f>
        <v>164651.125</v>
      </c>
      <c r="J23" s="133" t="e">
        <f>E29</f>
        <v>#DIV/0!</v>
      </c>
      <c r="K23" s="133">
        <f>C30</f>
        <v>290712.142578125</v>
      </c>
      <c r="L23" s="133" t="e">
        <f>E30</f>
        <v>#DIV/0!</v>
      </c>
    </row>
    <row r="24" spans="1:12" x14ac:dyDescent="0.25">
      <c r="A24" s="63" t="s">
        <v>9</v>
      </c>
      <c r="B24" s="92">
        <v>1</v>
      </c>
      <c r="C24" s="43">
        <f>B24*5</f>
        <v>5</v>
      </c>
      <c r="D24" s="53"/>
      <c r="E24" s="43">
        <f>D24*5</f>
        <v>0</v>
      </c>
      <c r="F24" s="159"/>
      <c r="G24" s="159"/>
      <c r="I24" s="134"/>
      <c r="J24" s="134"/>
      <c r="K24" s="134"/>
      <c r="L24" s="134"/>
    </row>
    <row r="25" spans="1:12" ht="17.25" x14ac:dyDescent="0.25">
      <c r="A25" s="63" t="s">
        <v>11</v>
      </c>
      <c r="B25" s="92">
        <v>0</v>
      </c>
      <c r="C25" s="43">
        <f>B25*-25</f>
        <v>0</v>
      </c>
      <c r="D25" s="53"/>
      <c r="E25" s="43">
        <f>D25*-25</f>
        <v>0</v>
      </c>
      <c r="F25" s="159"/>
      <c r="G25" s="159"/>
      <c r="I25" s="135">
        <f>ROUND(I23,-3)</f>
        <v>165000</v>
      </c>
      <c r="J25" s="135" t="e">
        <f>ROUND(J23,-3)</f>
        <v>#DIV/0!</v>
      </c>
      <c r="K25" s="135">
        <f>ROUND(K23,-3)</f>
        <v>291000</v>
      </c>
      <c r="L25" s="135" t="e">
        <f>ROUND(L23,-3)</f>
        <v>#DIV/0!</v>
      </c>
    </row>
    <row r="26" spans="1:12" ht="18" thickBot="1" x14ac:dyDescent="0.3">
      <c r="A26" s="63" t="s">
        <v>30</v>
      </c>
      <c r="B26" s="92">
        <v>1</v>
      </c>
      <c r="C26" s="43">
        <f>B26*10</f>
        <v>10</v>
      </c>
      <c r="D26" s="53"/>
      <c r="E26" s="43">
        <f>D26*10</f>
        <v>0</v>
      </c>
      <c r="F26" s="159"/>
      <c r="G26" s="159"/>
      <c r="I26" s="135">
        <f>ROUND(I23,-4)</f>
        <v>160000</v>
      </c>
      <c r="J26" s="135" t="e">
        <f>ROUND(J23,-4)</f>
        <v>#DIV/0!</v>
      </c>
      <c r="K26" s="135">
        <f>ROUND(K23,-4)</f>
        <v>290000</v>
      </c>
      <c r="L26" s="135" t="e">
        <f>ROUND(L23,-4)</f>
        <v>#DIV/0!</v>
      </c>
    </row>
    <row r="27" spans="1:12" ht="15.75" hidden="1" customHeight="1" x14ac:dyDescent="0.25">
      <c r="A27" s="6" t="s">
        <v>25</v>
      </c>
      <c r="B27" s="44"/>
      <c r="C27" s="45">
        <f>(SUM(C5:C26))*0.005</f>
        <v>0.89254166666666679</v>
      </c>
      <c r="D27" s="29"/>
      <c r="E27" s="30" t="e">
        <f>(SUM(E5:E26))*0.005</f>
        <v>#DIV/0!</v>
      </c>
      <c r="F27" s="159"/>
      <c r="G27" s="159"/>
      <c r="I27" s="135">
        <f>ROUND(I23,-5)</f>
        <v>200000</v>
      </c>
      <c r="J27" s="135" t="e">
        <f>ROUND(J23,-5)</f>
        <v>#DIV/0!</v>
      </c>
      <c r="K27" s="135">
        <f>ROUND(K23,-5)</f>
        <v>300000</v>
      </c>
      <c r="L27" s="135" t="e">
        <f>ROUND(L23,-5)</f>
        <v>#DIV/0!</v>
      </c>
    </row>
    <row r="28" spans="1:12" ht="15.75" hidden="1" customHeight="1" thickBot="1" x14ac:dyDescent="0.3">
      <c r="A28" s="7" t="s">
        <v>24</v>
      </c>
      <c r="B28" s="46"/>
      <c r="C28" s="47">
        <f>(B13*0.15)+(B8*0.5)+(B12*0.3)</f>
        <v>87000</v>
      </c>
      <c r="D28" s="31"/>
      <c r="E28" s="32">
        <f>(D13*0.15)+(D8*0.5)+(D12*0.3)</f>
        <v>0</v>
      </c>
      <c r="F28" s="159"/>
      <c r="G28" s="159"/>
      <c r="I28" s="135">
        <f>ROUND(I23,-6)</f>
        <v>0</v>
      </c>
      <c r="J28" s="135" t="e">
        <f>ROUND(J23,-6)</f>
        <v>#DIV/0!</v>
      </c>
      <c r="K28" s="135">
        <f>ROUND(K23,-6)</f>
        <v>0</v>
      </c>
      <c r="L28" s="135" t="e">
        <f>ROUND(L23,-6)</f>
        <v>#DIV/0!</v>
      </c>
    </row>
    <row r="29" spans="1:12" ht="19.5" thickBot="1" x14ac:dyDescent="0.35">
      <c r="A29" s="36" t="s">
        <v>90</v>
      </c>
      <c r="B29" s="108">
        <f>I35</f>
        <v>160000</v>
      </c>
      <c r="C29" s="137">
        <f>(C27+1)*C28</f>
        <v>164651.125</v>
      </c>
      <c r="D29" s="109" t="e">
        <f>J35</f>
        <v>#DIV/0!</v>
      </c>
      <c r="E29" s="140" t="e">
        <f>(E27+1)*E28</f>
        <v>#DIV/0!</v>
      </c>
      <c r="F29" s="159"/>
      <c r="G29" s="159"/>
      <c r="I29" s="134"/>
      <c r="J29" s="134"/>
      <c r="K29" s="134"/>
      <c r="L29" s="134"/>
    </row>
    <row r="30" spans="1:12" ht="19.5" thickBot="1" x14ac:dyDescent="0.35">
      <c r="A30" s="141" t="s">
        <v>28</v>
      </c>
      <c r="B30" s="142">
        <f>K35</f>
        <v>290000</v>
      </c>
      <c r="C30" s="151">
        <f>(($B$11-$B$10)/$B$11*C29)+C29</f>
        <v>290712.142578125</v>
      </c>
      <c r="D30" s="143" t="e">
        <f>L35</f>
        <v>#DIV/0!</v>
      </c>
      <c r="E30" s="150" t="e">
        <f>(($D$11-$D$10)/$D$11*E29)+E29</f>
        <v>#DIV/0!</v>
      </c>
      <c r="F30" s="159"/>
      <c r="G30" s="159"/>
      <c r="I30" s="136">
        <f>IF(AND($I23&gt;9999,$I23&lt;100000),I26,0)</f>
        <v>0</v>
      </c>
      <c r="J30" s="136" t="e">
        <f>IF(AND($J23&gt;9999,$J23&lt;100000),J26,0)</f>
        <v>#DIV/0!</v>
      </c>
      <c r="K30" s="136">
        <f>IF(AND($K23&gt;9999,$K23&lt;100000),K26,0)</f>
        <v>0</v>
      </c>
      <c r="L30" s="136" t="e">
        <f>IF(AND($L23&gt;9999,$L23&lt;100000),L26,0)</f>
        <v>#DIV/0!</v>
      </c>
    </row>
    <row r="31" spans="1:12" ht="18.75" x14ac:dyDescent="0.3">
      <c r="A31" s="10" t="s">
        <v>31</v>
      </c>
      <c r="B31" s="58"/>
      <c r="C31" s="49" t="b">
        <f>IF(B5&gt;65,"YES")</f>
        <v>0</v>
      </c>
      <c r="D31" s="61" t="b">
        <f>E31</f>
        <v>0</v>
      </c>
      <c r="E31" s="33" t="b">
        <f>IF(D5&gt;65,"YES")</f>
        <v>0</v>
      </c>
      <c r="F31" s="159"/>
      <c r="G31" s="159"/>
      <c r="I31" s="136">
        <f>IF(AND($I23&gt;99999,$I23&lt;1000000),I26,0)</f>
        <v>160000</v>
      </c>
      <c r="J31" s="136" t="e">
        <f>IF(AND($J23&gt;99999,$J23&lt;1000000),J26,0)</f>
        <v>#DIV/0!</v>
      </c>
      <c r="K31" s="136">
        <f>IF(AND($K23&gt;99999,$K23&lt;1000000),K26,0)</f>
        <v>290000</v>
      </c>
      <c r="L31" s="136" t="e">
        <f>IF(AND($L23&gt;99999,$L23&lt;1000000),L26,0)</f>
        <v>#DIV/0!</v>
      </c>
    </row>
    <row r="32" spans="1:12" ht="18.75" x14ac:dyDescent="0.3">
      <c r="A32" s="10" t="s">
        <v>31</v>
      </c>
      <c r="B32" s="58"/>
      <c r="C32" s="49" t="b">
        <f>IF(B6&gt;65,"YES")</f>
        <v>0</v>
      </c>
      <c r="D32" s="61" t="b">
        <f>E32</f>
        <v>0</v>
      </c>
      <c r="E32" s="33" t="b">
        <f>IF(D6&gt;65,"YES")</f>
        <v>0</v>
      </c>
      <c r="F32" s="159"/>
      <c r="G32" s="159"/>
      <c r="I32" s="136">
        <f>IF(AND($I23&gt;999999,$I23&lt;10000000),I27,0)</f>
        <v>0</v>
      </c>
      <c r="J32" s="136" t="e">
        <f>IF(AND($J23&gt;999999,$J23&lt;10000000),J27,0)</f>
        <v>#DIV/0!</v>
      </c>
      <c r="K32" s="136">
        <f>IF(AND($K23&gt;999999,$K23&lt;10000000),K27,0)</f>
        <v>0</v>
      </c>
      <c r="L32" s="136" t="e">
        <f>IF(AND($L23&gt;999999,$L23&lt;10000000),L27,0)</f>
        <v>#DIV/0!</v>
      </c>
    </row>
    <row r="33" spans="1:20" ht="18.75" x14ac:dyDescent="0.3">
      <c r="A33" s="7" t="s">
        <v>26</v>
      </c>
      <c r="B33" s="58">
        <f>B30/3</f>
        <v>96666.666666666672</v>
      </c>
      <c r="C33" s="48">
        <f t="shared" ref="C33:E33" si="0">C30/3</f>
        <v>96904.047526041672</v>
      </c>
      <c r="D33" s="59" t="e">
        <f t="shared" si="0"/>
        <v>#DIV/0!</v>
      </c>
      <c r="E33" s="35" t="e">
        <f t="shared" si="0"/>
        <v>#DIV/0!</v>
      </c>
      <c r="F33" s="159"/>
      <c r="G33" s="159"/>
      <c r="I33" s="136">
        <f>IF(AND($I23&gt;9999999,$I23&lt;100000000),I28,0)</f>
        <v>0</v>
      </c>
      <c r="J33" s="136" t="e">
        <f>IF(AND($J23&gt;9999999,$J23&lt;100000000),J28,0)</f>
        <v>#DIV/0!</v>
      </c>
      <c r="K33" s="136">
        <f>IF(AND($K23&gt;9999999,$K23&lt;100000000),K28,0)</f>
        <v>0</v>
      </c>
      <c r="L33" s="136" t="e">
        <f>IF(AND($L23&gt;9999999,$L23&lt;100000000),L28,0)</f>
        <v>#DIV/0!</v>
      </c>
    </row>
    <row r="34" spans="1:20" ht="19.5" thickBot="1" x14ac:dyDescent="0.35">
      <c r="A34" s="8" t="s">
        <v>27</v>
      </c>
      <c r="B34" s="48">
        <f>ROUND(C34,-4)</f>
        <v>70000</v>
      </c>
      <c r="C34" s="47">
        <f>C33*0.7</f>
        <v>67832.833268229166</v>
      </c>
      <c r="D34" s="35" t="e">
        <f>ROUND(E34,-4)</f>
        <v>#DIV/0!</v>
      </c>
      <c r="E34" s="149" t="e">
        <f>E33*0.7</f>
        <v>#DIV/0!</v>
      </c>
      <c r="F34" s="159"/>
      <c r="G34" s="159"/>
      <c r="I34" s="134"/>
      <c r="J34" s="134"/>
      <c r="K34" s="134"/>
      <c r="L34" s="134"/>
    </row>
    <row r="35" spans="1:20" ht="19.5" thickBot="1" x14ac:dyDescent="0.35">
      <c r="A35" s="9" t="s">
        <v>29</v>
      </c>
      <c r="B35" s="50">
        <f>B29/$B$10</f>
        <v>8.5333333333333332</v>
      </c>
      <c r="C35" s="51">
        <f>(C29/$B$10)</f>
        <v>8.7813933333333338</v>
      </c>
      <c r="D35" s="110" t="e">
        <f>D29/$D$10</f>
        <v>#DIV/0!</v>
      </c>
      <c r="E35" s="54" t="e">
        <f>(E29/$D$10)</f>
        <v>#DIV/0!</v>
      </c>
      <c r="F35" s="159"/>
      <c r="G35" s="159"/>
      <c r="I35" s="133">
        <f>SUM(I30:I33)</f>
        <v>160000</v>
      </c>
      <c r="J35" s="133" t="e">
        <f>SUM(J30:J33)</f>
        <v>#DIV/0!</v>
      </c>
      <c r="K35" s="133">
        <f>SUM(K30:K33)</f>
        <v>290000</v>
      </c>
      <c r="L35" s="133" t="e">
        <f>SUM(L30:L33)</f>
        <v>#DIV/0!</v>
      </c>
    </row>
    <row r="36" spans="1:20" ht="15.75" thickBot="1" x14ac:dyDescent="0.3">
      <c r="B36" s="40"/>
      <c r="C36" s="52"/>
      <c r="D36" s="27"/>
      <c r="E36" s="28"/>
      <c r="F36" s="159"/>
      <c r="G36" s="159"/>
      <c r="I36" s="102"/>
      <c r="J36" s="102"/>
      <c r="K36" s="102"/>
      <c r="L36" s="102"/>
    </row>
    <row r="37" spans="1:20" ht="44.25" thickBot="1" x14ac:dyDescent="0.3">
      <c r="B37" s="8"/>
      <c r="C37" s="65"/>
      <c r="D37" s="66" t="s">
        <v>85</v>
      </c>
      <c r="E37" s="67"/>
      <c r="F37" s="159"/>
      <c r="G37" s="159"/>
      <c r="I37" s="97" t="s">
        <v>133</v>
      </c>
      <c r="J37" s="97" t="s">
        <v>133</v>
      </c>
      <c r="K37" s="97" t="s">
        <v>134</v>
      </c>
      <c r="L37" s="97" t="s">
        <v>134</v>
      </c>
    </row>
    <row r="38" spans="1:20" ht="19.5" thickBot="1" x14ac:dyDescent="0.3">
      <c r="A38" s="96" t="s">
        <v>86</v>
      </c>
      <c r="B38" s="68"/>
      <c r="C38" s="68"/>
      <c r="D38" s="68"/>
      <c r="E38" s="68"/>
      <c r="F38" s="159"/>
      <c r="G38" s="159"/>
    </row>
    <row r="39" spans="1:20" ht="19.5" thickBot="1" x14ac:dyDescent="0.3">
      <c r="A39" s="4" t="s">
        <v>87</v>
      </c>
      <c r="B39" s="154">
        <v>1</v>
      </c>
      <c r="C39" s="70">
        <f>B39*10</f>
        <v>10</v>
      </c>
      <c r="D39" s="132"/>
      <c r="E39" s="70">
        <f>D39*10</f>
        <v>0</v>
      </c>
      <c r="F39" s="159"/>
      <c r="G39" s="159"/>
      <c r="I39" s="133">
        <f>C44</f>
        <v>171176.125</v>
      </c>
      <c r="J39" s="133" t="e">
        <f>E44</f>
        <v>#DIV/0!</v>
      </c>
      <c r="K39" s="133">
        <f>C45</f>
        <v>302232.845703125</v>
      </c>
      <c r="L39" s="133" t="e">
        <f>E45</f>
        <v>#DIV/0!</v>
      </c>
    </row>
    <row r="40" spans="1:20" x14ac:dyDescent="0.25">
      <c r="A40" s="4" t="s">
        <v>88</v>
      </c>
      <c r="B40" s="154">
        <v>0</v>
      </c>
      <c r="C40" s="70">
        <f>B40*15</f>
        <v>0</v>
      </c>
      <c r="D40" s="132"/>
      <c r="E40" s="70">
        <f>D40*15</f>
        <v>0</v>
      </c>
      <c r="F40" s="159"/>
      <c r="G40" s="159"/>
      <c r="I40" s="134"/>
      <c r="J40" s="134"/>
      <c r="K40" s="134"/>
      <c r="L40" s="134"/>
    </row>
    <row r="41" spans="1:20" ht="18" thickBot="1" x14ac:dyDescent="0.3">
      <c r="A41" s="4" t="s">
        <v>89</v>
      </c>
      <c r="B41" s="154">
        <v>1</v>
      </c>
      <c r="C41" s="70">
        <f t="shared" ref="C41:E41" si="1">B41*5</f>
        <v>5</v>
      </c>
      <c r="D41" s="132"/>
      <c r="E41" s="70">
        <f t="shared" si="1"/>
        <v>0</v>
      </c>
      <c r="F41" s="159"/>
      <c r="G41" s="159"/>
      <c r="I41" s="135">
        <f>ROUND(I39,-3)</f>
        <v>171000</v>
      </c>
      <c r="J41" s="135" t="e">
        <f>ROUND(J39,-3)</f>
        <v>#DIV/0!</v>
      </c>
      <c r="K41" s="135">
        <f>ROUND(K39,-3)</f>
        <v>302000</v>
      </c>
      <c r="L41" s="135" t="e">
        <f>ROUND(L39,-3)</f>
        <v>#DIV/0!</v>
      </c>
    </row>
    <row r="42" spans="1:20" ht="15.75" hidden="1" customHeight="1" x14ac:dyDescent="0.25">
      <c r="A42" s="71" t="s">
        <v>25</v>
      </c>
      <c r="B42" s="72"/>
      <c r="C42" s="73">
        <f>(SUM(C39:C41))*0.005</f>
        <v>7.4999999999999997E-2</v>
      </c>
      <c r="D42" s="74"/>
      <c r="E42" s="75">
        <f>(SUM(E38:E41))*0.005</f>
        <v>0</v>
      </c>
      <c r="F42" s="159"/>
      <c r="G42" s="159"/>
      <c r="I42" s="135">
        <f>ROUND(I39,-4)</f>
        <v>170000</v>
      </c>
      <c r="J42" s="135" t="e">
        <f>ROUND(J39,-4)</f>
        <v>#DIV/0!</v>
      </c>
      <c r="K42" s="135">
        <f>ROUND(K39,-4)</f>
        <v>300000</v>
      </c>
      <c r="L42" s="135" t="e">
        <f>ROUND(L39,-4)</f>
        <v>#DIV/0!</v>
      </c>
    </row>
    <row r="43" spans="1:20" ht="15.75" hidden="1" customHeight="1" thickBot="1" x14ac:dyDescent="0.3">
      <c r="A43" s="5" t="s">
        <v>24</v>
      </c>
      <c r="B43" s="8"/>
      <c r="C43" s="76">
        <f>$C$28</f>
        <v>87000</v>
      </c>
      <c r="D43" s="77"/>
      <c r="E43" s="78">
        <f>$E$28</f>
        <v>0</v>
      </c>
      <c r="F43" s="159"/>
      <c r="G43" s="159"/>
      <c r="I43" s="135">
        <f>ROUND(I39,-5)</f>
        <v>200000</v>
      </c>
      <c r="J43" s="135" t="e">
        <f>ROUND(J39,-5)</f>
        <v>#DIV/0!</v>
      </c>
      <c r="K43" s="135">
        <f>ROUND(K39,-5)</f>
        <v>300000</v>
      </c>
      <c r="L43" s="135" t="e">
        <f>ROUND(L39,-5)</f>
        <v>#DIV/0!</v>
      </c>
    </row>
    <row r="44" spans="1:20" ht="18" thickBot="1" x14ac:dyDescent="0.3">
      <c r="A44" s="37" t="s">
        <v>90</v>
      </c>
      <c r="B44" s="111">
        <f>I51</f>
        <v>170000</v>
      </c>
      <c r="C44" s="112">
        <f>($C$27+1+C42)*$C$28</f>
        <v>171176.125</v>
      </c>
      <c r="D44" s="113" t="e">
        <f>J51</f>
        <v>#DIV/0!</v>
      </c>
      <c r="E44" s="148" t="e">
        <f>($E$27+1+E42)*$E$28</f>
        <v>#DIV/0!</v>
      </c>
      <c r="F44" s="159"/>
      <c r="G44" s="159"/>
      <c r="I44" s="135">
        <f>ROUND(I39,-6)</f>
        <v>0</v>
      </c>
      <c r="J44" s="135" t="e">
        <f>ROUND(J39,-6)</f>
        <v>#DIV/0!</v>
      </c>
      <c r="K44" s="135">
        <f>ROUND(K39,-6)</f>
        <v>0</v>
      </c>
      <c r="L44" s="135" t="e">
        <f>ROUND(L39,-6)</f>
        <v>#DIV/0!</v>
      </c>
    </row>
    <row r="45" spans="1:20" ht="15.75" thickBot="1" x14ac:dyDescent="0.3">
      <c r="A45" s="144" t="s">
        <v>28</v>
      </c>
      <c r="B45" s="145">
        <f>K51</f>
        <v>300000</v>
      </c>
      <c r="C45" s="152">
        <f>(($B$11-$B$10)/$B$11*C44)+C44</f>
        <v>302232.845703125</v>
      </c>
      <c r="D45" s="147" t="e">
        <f>L51</f>
        <v>#DIV/0!</v>
      </c>
      <c r="E45" s="153" t="e">
        <f>(($D$11-$D$10)/$D$11*E44)+E44</f>
        <v>#DIV/0!</v>
      </c>
      <c r="F45" s="159"/>
      <c r="G45" s="159"/>
      <c r="I45" s="134"/>
      <c r="J45" s="134"/>
      <c r="K45" s="134"/>
      <c r="L45" s="134"/>
    </row>
    <row r="46" spans="1:20" s="12" customFormat="1" ht="17.25" x14ac:dyDescent="0.25">
      <c r="A46" s="11" t="s">
        <v>91</v>
      </c>
      <c r="B46" s="114"/>
      <c r="C46" s="79" t="b">
        <f>IF($B$5&gt;65,"YES")</f>
        <v>0</v>
      </c>
      <c r="D46" s="115" t="b">
        <f>E46</f>
        <v>0</v>
      </c>
      <c r="E46" s="80" t="b">
        <f>IF($D$5&gt;65,"YES")</f>
        <v>0</v>
      </c>
      <c r="F46" s="159"/>
      <c r="G46" s="159"/>
      <c r="H46" s="99"/>
      <c r="I46" s="136">
        <f>IF(AND($I39&gt;9999,$I39&lt;100000),I42,0)</f>
        <v>0</v>
      </c>
      <c r="J46" s="136" t="e">
        <f>IF(AND($J39&gt;9999,$J39&lt;100000),J42,0)</f>
        <v>#DIV/0!</v>
      </c>
      <c r="K46" s="136">
        <f>IF(AND($K39&gt;9999,$K39&lt;100000),K42,0)</f>
        <v>0</v>
      </c>
      <c r="L46" s="136" t="e">
        <f>IF(AND($L39&gt;9999,$L39&lt;100000),L42,0)</f>
        <v>#DIV/0!</v>
      </c>
      <c r="M46" s="99"/>
      <c r="N46" s="99"/>
      <c r="O46" s="99"/>
      <c r="P46" s="99"/>
      <c r="Q46" s="99"/>
      <c r="R46" s="99"/>
      <c r="S46" s="99"/>
      <c r="T46" s="99"/>
    </row>
    <row r="47" spans="1:20" s="12" customFormat="1" ht="17.25" x14ac:dyDescent="0.25">
      <c r="A47" s="11" t="s">
        <v>92</v>
      </c>
      <c r="B47" s="116"/>
      <c r="C47" s="79" t="b">
        <f>IF($B$6&gt;65,"YES")</f>
        <v>0</v>
      </c>
      <c r="D47" s="115" t="b">
        <f>E47</f>
        <v>0</v>
      </c>
      <c r="E47" s="80" t="b">
        <f>IF($D$6&gt;65,"YES")</f>
        <v>0</v>
      </c>
      <c r="F47" s="159"/>
      <c r="G47" s="159"/>
      <c r="H47" s="99"/>
      <c r="I47" s="136">
        <f>IF(AND($I39&gt;99999,$I39&lt;1000000),I42,0)</f>
        <v>170000</v>
      </c>
      <c r="J47" s="136" t="e">
        <f>IF(AND($J39&gt;99999,$J39&lt;1000000),J42,0)</f>
        <v>#DIV/0!</v>
      </c>
      <c r="K47" s="136">
        <f>IF(AND($K39&gt;99999,$K39&lt;1000000),K42,0)</f>
        <v>300000</v>
      </c>
      <c r="L47" s="136" t="e">
        <f>IF(AND($L39&gt;99999,$L39&lt;1000000),L42,0)</f>
        <v>#DIV/0!</v>
      </c>
      <c r="M47" s="99"/>
      <c r="N47" s="99"/>
      <c r="O47" s="99"/>
      <c r="P47" s="99"/>
      <c r="Q47" s="99"/>
      <c r="R47" s="99"/>
      <c r="S47" s="99"/>
      <c r="T47" s="99"/>
    </row>
    <row r="48" spans="1:20" ht="17.25" x14ac:dyDescent="0.25">
      <c r="A48" s="7" t="s">
        <v>26</v>
      </c>
      <c r="B48" s="117">
        <f>B45/3</f>
        <v>100000</v>
      </c>
      <c r="C48" s="118">
        <f>C44/3</f>
        <v>57058.708333333336</v>
      </c>
      <c r="D48" s="119" t="e">
        <f t="shared" ref="D48" si="2">D45/3</f>
        <v>#DIV/0!</v>
      </c>
      <c r="E48" s="81" t="e">
        <f>E44/3</f>
        <v>#DIV/0!</v>
      </c>
      <c r="F48" s="159"/>
      <c r="G48" s="159"/>
      <c r="I48" s="136">
        <f>IF(AND($I39&gt;999999,$I39&lt;10000000),I43,0)</f>
        <v>0</v>
      </c>
      <c r="J48" s="136" t="e">
        <f>IF(AND($J39&gt;999999,$J39&lt;10000000),J43,0)</f>
        <v>#DIV/0!</v>
      </c>
      <c r="K48" s="136">
        <f>IF(AND($K39&gt;999999,$K39&lt;10000000),K43,0)</f>
        <v>0</v>
      </c>
      <c r="L48" s="136" t="e">
        <f>IF(AND($L39&gt;999999,$L39&lt;10000000),L43,0)</f>
        <v>#DIV/0!</v>
      </c>
    </row>
    <row r="49" spans="1:20" ht="17.25" x14ac:dyDescent="0.25">
      <c r="A49" s="7" t="s">
        <v>27</v>
      </c>
      <c r="B49" s="120">
        <f>ROUND(C49,-4)</f>
        <v>40000</v>
      </c>
      <c r="C49" s="118">
        <f>C48*0.7</f>
        <v>39941.095833333333</v>
      </c>
      <c r="D49" s="121" t="e">
        <f>ROUND(E49,-4)</f>
        <v>#DIV/0!</v>
      </c>
      <c r="E49" s="81" t="e">
        <f>E48*0.7</f>
        <v>#DIV/0!</v>
      </c>
      <c r="F49" s="159"/>
      <c r="G49" s="159"/>
      <c r="I49" s="136">
        <f>IF(AND($I39&gt;9999999,$I39&lt;100000000),I44,0)</f>
        <v>0</v>
      </c>
      <c r="J49" s="136" t="e">
        <f>IF(AND($J39&gt;9999999,$J39&lt;100000000),J44,0)</f>
        <v>#DIV/0!</v>
      </c>
      <c r="K49" s="136">
        <f>IF(AND($K39&gt;9999999,$K39&lt;100000000),K44,0)</f>
        <v>0</v>
      </c>
      <c r="L49" s="136" t="e">
        <f>IF(AND($L39&gt;9999999,$L39&lt;100000000),L44,0)</f>
        <v>#DIV/0!</v>
      </c>
    </row>
    <row r="50" spans="1:20" ht="15.75" thickBot="1" x14ac:dyDescent="0.3">
      <c r="A50" s="82" t="s">
        <v>29</v>
      </c>
      <c r="B50" s="122">
        <f>B44/$B$10</f>
        <v>9.0666666666666664</v>
      </c>
      <c r="C50" s="83">
        <f>(C44/$B$10)*0.01</f>
        <v>9.1293933333333327E-2</v>
      </c>
      <c r="D50" s="122" t="e">
        <f>D44/$D$10</f>
        <v>#DIV/0!</v>
      </c>
      <c r="E50" s="84" t="e">
        <f>(E44/$D$10)*0.01</f>
        <v>#DIV/0!</v>
      </c>
      <c r="F50" s="159"/>
      <c r="G50" s="159"/>
      <c r="I50" s="134"/>
      <c r="J50" s="134"/>
      <c r="K50" s="134"/>
      <c r="L50" s="134"/>
    </row>
    <row r="51" spans="1:20" ht="19.5" thickBot="1" x14ac:dyDescent="0.3">
      <c r="B51" s="8"/>
      <c r="C51" s="65"/>
      <c r="D51" s="69"/>
      <c r="E51" s="60"/>
      <c r="F51" s="159"/>
      <c r="G51" s="159"/>
      <c r="I51" s="133">
        <f>SUM(I46:I49)</f>
        <v>170000</v>
      </c>
      <c r="J51" s="133" t="e">
        <f>SUM(J46:J49)</f>
        <v>#DIV/0!</v>
      </c>
      <c r="K51" s="133">
        <f>SUM(K46:K49)</f>
        <v>300000</v>
      </c>
      <c r="L51" s="133" t="e">
        <f>SUM(L46:L49)</f>
        <v>#DIV/0!</v>
      </c>
    </row>
    <row r="52" spans="1:20" ht="18.75" x14ac:dyDescent="0.25">
      <c r="A52" s="96" t="s">
        <v>93</v>
      </c>
      <c r="B52" s="68"/>
      <c r="C52" s="68"/>
      <c r="D52" s="68"/>
      <c r="E52" s="68"/>
      <c r="F52" s="159"/>
      <c r="G52" s="159"/>
      <c r="I52" s="102"/>
      <c r="J52" s="102"/>
      <c r="K52" s="102"/>
      <c r="L52" s="102"/>
    </row>
    <row r="53" spans="1:20" x14ac:dyDescent="0.25">
      <c r="A53" s="4" t="s">
        <v>87</v>
      </c>
      <c r="B53" s="154">
        <v>1</v>
      </c>
      <c r="C53" s="70">
        <f>B53*10</f>
        <v>10</v>
      </c>
      <c r="D53" s="132"/>
      <c r="E53" s="70">
        <f>D53*10</f>
        <v>0</v>
      </c>
      <c r="F53" s="159"/>
      <c r="G53" s="159"/>
    </row>
    <row r="54" spans="1:20" x14ac:dyDescent="0.25">
      <c r="A54" s="4" t="s">
        <v>88</v>
      </c>
      <c r="B54" s="154">
        <v>0</v>
      </c>
      <c r="C54" s="70">
        <f>B54*15</f>
        <v>0</v>
      </c>
      <c r="D54" s="132"/>
      <c r="E54" s="70">
        <f>D54*15</f>
        <v>0</v>
      </c>
      <c r="F54" s="159"/>
      <c r="G54" s="159"/>
      <c r="I54" s="97" t="s">
        <v>133</v>
      </c>
      <c r="J54" s="97" t="s">
        <v>133</v>
      </c>
      <c r="K54" s="97" t="s">
        <v>134</v>
      </c>
      <c r="L54" s="97" t="s">
        <v>134</v>
      </c>
    </row>
    <row r="55" spans="1:20" ht="15.75" thickBot="1" x14ac:dyDescent="0.3">
      <c r="A55" s="4" t="s">
        <v>89</v>
      </c>
      <c r="B55" s="154">
        <v>1</v>
      </c>
      <c r="C55" s="70">
        <f t="shared" ref="C55:E55" si="3">B55*5</f>
        <v>5</v>
      </c>
      <c r="D55" s="132"/>
      <c r="E55" s="70">
        <f t="shared" si="3"/>
        <v>0</v>
      </c>
      <c r="F55" s="159"/>
      <c r="G55" s="159"/>
    </row>
    <row r="56" spans="1:20" ht="19.5" thickBot="1" x14ac:dyDescent="0.3">
      <c r="A56" s="4" t="s">
        <v>94</v>
      </c>
      <c r="B56" s="154">
        <v>1</v>
      </c>
      <c r="C56" s="70">
        <f>B56*20</f>
        <v>20</v>
      </c>
      <c r="D56" s="132"/>
      <c r="E56" s="70">
        <f>D56*20</f>
        <v>0</v>
      </c>
      <c r="F56" s="159"/>
      <c r="G56" s="159"/>
      <c r="I56" s="133">
        <f>C59</f>
        <v>179876.125</v>
      </c>
      <c r="J56" s="133" t="e">
        <f>E59</f>
        <v>#DIV/0!</v>
      </c>
      <c r="K56" s="133">
        <f>C60</f>
        <v>317593.783203125</v>
      </c>
      <c r="L56" s="133" t="e">
        <f>E60</f>
        <v>#DIV/0!</v>
      </c>
    </row>
    <row r="57" spans="1:20" ht="15.75" hidden="1" customHeight="1" x14ac:dyDescent="0.25">
      <c r="A57" s="71" t="s">
        <v>25</v>
      </c>
      <c r="B57" s="72"/>
      <c r="C57" s="73">
        <f>(SUM(C53:C56))*0.005</f>
        <v>0.17500000000000002</v>
      </c>
      <c r="D57" s="74"/>
      <c r="E57" s="75">
        <f>(SUM(E53:E56))*0.005</f>
        <v>0</v>
      </c>
      <c r="F57" s="159"/>
      <c r="G57" s="159"/>
      <c r="I57" s="134"/>
      <c r="J57" s="134"/>
      <c r="K57" s="134"/>
      <c r="L57" s="134"/>
    </row>
    <row r="58" spans="1:20" ht="15.75" hidden="1" customHeight="1" thickBot="1" x14ac:dyDescent="0.3">
      <c r="A58" s="5" t="s">
        <v>24</v>
      </c>
      <c r="B58" s="8" t="s">
        <v>32</v>
      </c>
      <c r="C58" s="76">
        <f>$C$28</f>
        <v>87000</v>
      </c>
      <c r="D58" s="77"/>
      <c r="E58" s="78">
        <f>$E$28</f>
        <v>0</v>
      </c>
      <c r="F58" s="159"/>
      <c r="G58" s="159"/>
      <c r="I58" s="135">
        <f>ROUND(I56,-3)</f>
        <v>180000</v>
      </c>
      <c r="J58" s="135" t="e">
        <f>ROUND(J56,-3)</f>
        <v>#DIV/0!</v>
      </c>
      <c r="K58" s="135">
        <f>ROUND(K56,-3)</f>
        <v>318000</v>
      </c>
      <c r="L58" s="135" t="e">
        <f>ROUND(L56,-3)</f>
        <v>#DIV/0!</v>
      </c>
    </row>
    <row r="59" spans="1:20" ht="18" thickBot="1" x14ac:dyDescent="0.3">
      <c r="A59" s="37" t="s">
        <v>90</v>
      </c>
      <c r="B59" s="111">
        <f>I68</f>
        <v>180000</v>
      </c>
      <c r="C59" s="112">
        <f>($C$27+1+C57)*$C$28</f>
        <v>179876.125</v>
      </c>
      <c r="D59" s="113" t="e">
        <f>J68</f>
        <v>#DIV/0!</v>
      </c>
      <c r="E59" s="148" t="e">
        <f>($E$27+1+E57)*$E$28</f>
        <v>#DIV/0!</v>
      </c>
      <c r="F59" s="159"/>
      <c r="G59" s="159"/>
      <c r="I59" s="135">
        <f>ROUND(I56,-4)</f>
        <v>180000</v>
      </c>
      <c r="J59" s="135" t="e">
        <f>ROUND(J56,-4)</f>
        <v>#DIV/0!</v>
      </c>
      <c r="K59" s="135">
        <f>ROUND(K56,-4)</f>
        <v>320000</v>
      </c>
      <c r="L59" s="135" t="e">
        <f>ROUND(L56,-4)</f>
        <v>#DIV/0!</v>
      </c>
    </row>
    <row r="60" spans="1:20" ht="18" thickBot="1" x14ac:dyDescent="0.3">
      <c r="A60" s="144" t="s">
        <v>28</v>
      </c>
      <c r="B60" s="145">
        <f>K68</f>
        <v>320000</v>
      </c>
      <c r="C60" s="152">
        <f>(($B$11-$B$10)/$B$11*C59)+C59</f>
        <v>317593.783203125</v>
      </c>
      <c r="D60" s="147" t="e">
        <f>L68</f>
        <v>#DIV/0!</v>
      </c>
      <c r="E60" s="153" t="e">
        <f>(($D$11-$D$10)/$D$11*E59)+E59</f>
        <v>#DIV/0!</v>
      </c>
      <c r="F60" s="159"/>
      <c r="G60" s="159"/>
      <c r="I60" s="135">
        <f>ROUND(I56,-5)</f>
        <v>200000</v>
      </c>
      <c r="J60" s="135" t="e">
        <f>ROUND(J56,-5)</f>
        <v>#DIV/0!</v>
      </c>
      <c r="K60" s="135">
        <f>ROUND(K56,-5)</f>
        <v>300000</v>
      </c>
      <c r="L60" s="135" t="e">
        <f>ROUND(L56,-5)</f>
        <v>#DIV/0!</v>
      </c>
    </row>
    <row r="61" spans="1:20" s="12" customFormat="1" ht="17.25" x14ac:dyDescent="0.25">
      <c r="A61" s="11" t="s">
        <v>91</v>
      </c>
      <c r="B61" s="114"/>
      <c r="C61" s="79" t="b">
        <f>IF($B$5&gt;65,"YES")</f>
        <v>0</v>
      </c>
      <c r="D61" s="115" t="b">
        <f>E61</f>
        <v>0</v>
      </c>
      <c r="E61" s="80" t="b">
        <f>IF($D$5&gt;65,"YES")</f>
        <v>0</v>
      </c>
      <c r="F61" s="159"/>
      <c r="G61" s="159"/>
      <c r="H61" s="99"/>
      <c r="I61" s="135">
        <f>ROUND(I56,-6)</f>
        <v>0</v>
      </c>
      <c r="J61" s="135" t="e">
        <f>ROUND(J56,-6)</f>
        <v>#DIV/0!</v>
      </c>
      <c r="K61" s="135">
        <f>ROUND(K56,-6)</f>
        <v>0</v>
      </c>
      <c r="L61" s="135" t="e">
        <f>ROUND(L56,-6)</f>
        <v>#DIV/0!</v>
      </c>
      <c r="M61" s="99"/>
      <c r="N61" s="99"/>
      <c r="O61" s="99"/>
      <c r="P61" s="99"/>
      <c r="Q61" s="99"/>
      <c r="R61" s="99"/>
      <c r="S61" s="99"/>
      <c r="T61" s="99"/>
    </row>
    <row r="62" spans="1:20" s="12" customFormat="1" x14ac:dyDescent="0.25">
      <c r="A62" s="11" t="s">
        <v>92</v>
      </c>
      <c r="B62" s="116"/>
      <c r="C62" s="79" t="b">
        <f>IF($B$6&gt;65,"YES")</f>
        <v>0</v>
      </c>
      <c r="D62" s="115" t="b">
        <f>E62</f>
        <v>0</v>
      </c>
      <c r="E62" s="80" t="b">
        <f>IF($D$6&gt;65,"YES")</f>
        <v>0</v>
      </c>
      <c r="F62" s="159"/>
      <c r="G62" s="159"/>
      <c r="H62" s="99"/>
      <c r="I62" s="134"/>
      <c r="J62" s="134"/>
      <c r="K62" s="134"/>
      <c r="L62" s="134"/>
      <c r="M62" s="99"/>
      <c r="N62" s="99"/>
      <c r="O62" s="99"/>
      <c r="P62" s="99"/>
      <c r="Q62" s="99"/>
      <c r="R62" s="99"/>
      <c r="S62" s="99"/>
      <c r="T62" s="99"/>
    </row>
    <row r="63" spans="1:20" ht="17.25" x14ac:dyDescent="0.25">
      <c r="A63" s="7" t="s">
        <v>26</v>
      </c>
      <c r="B63" s="117">
        <f>B60/3</f>
        <v>106666.66666666667</v>
      </c>
      <c r="C63" s="118">
        <f>C59/3</f>
        <v>59958.708333333336</v>
      </c>
      <c r="D63" s="119" t="e">
        <f t="shared" ref="D63" si="4">D60/3</f>
        <v>#DIV/0!</v>
      </c>
      <c r="E63" s="81" t="e">
        <f>E59/3</f>
        <v>#DIV/0!</v>
      </c>
      <c r="F63" s="159"/>
      <c r="G63" s="159"/>
      <c r="I63" s="136">
        <f>IF(AND($I56&gt;9999,$I56&lt;100000),I59,0)</f>
        <v>0</v>
      </c>
      <c r="J63" s="136" t="e">
        <f>IF(AND($J56&gt;9999,$J56&lt;100000),J59,0)</f>
        <v>#DIV/0!</v>
      </c>
      <c r="K63" s="136">
        <f>IF(AND($K56&gt;9999,$K56&lt;100000),K59,0)</f>
        <v>0</v>
      </c>
      <c r="L63" s="136" t="e">
        <f>IF(AND($L56&gt;9999,$L56&lt;100000),L59,0)</f>
        <v>#DIV/0!</v>
      </c>
    </row>
    <row r="64" spans="1:20" ht="17.25" x14ac:dyDescent="0.25">
      <c r="A64" s="7" t="s">
        <v>27</v>
      </c>
      <c r="B64" s="120">
        <f>ROUND(C64,-4)</f>
        <v>40000</v>
      </c>
      <c r="C64" s="118">
        <f>C63*0.7</f>
        <v>41971.095833333333</v>
      </c>
      <c r="D64" s="121" t="e">
        <f>ROUND(E64,-4)</f>
        <v>#DIV/0!</v>
      </c>
      <c r="E64" s="81" t="e">
        <f>E63*0.7</f>
        <v>#DIV/0!</v>
      </c>
      <c r="F64" s="159"/>
      <c r="G64" s="159"/>
      <c r="I64" s="136">
        <f>IF(AND($I56&gt;99999,$I56&lt;1000000),I59,0)</f>
        <v>180000</v>
      </c>
      <c r="J64" s="136" t="e">
        <f>IF(AND($J56&gt;99999,$J56&lt;1000000),J59,0)</f>
        <v>#DIV/0!</v>
      </c>
      <c r="K64" s="136">
        <f>IF(AND($K56&gt;99999,$K56&lt;1000000),K59,0)</f>
        <v>320000</v>
      </c>
      <c r="L64" s="136" t="e">
        <f>IF(AND($L56&gt;99999,$L56&lt;1000000),L59,0)</f>
        <v>#DIV/0!</v>
      </c>
    </row>
    <row r="65" spans="1:20" ht="18" thickBot="1" x14ac:dyDescent="0.3">
      <c r="A65" s="82" t="s">
        <v>29</v>
      </c>
      <c r="B65" s="122">
        <f>B59/$B$10</f>
        <v>9.6</v>
      </c>
      <c r="C65" s="83">
        <f>(C59/$B$10)*0.01</f>
        <v>9.5933933333333332E-2</v>
      </c>
      <c r="D65" s="122" t="e">
        <f>D59/$D$10</f>
        <v>#DIV/0!</v>
      </c>
      <c r="E65" s="84" t="e">
        <f>(E59/$D$10)*0.01</f>
        <v>#DIV/0!</v>
      </c>
      <c r="F65" s="159"/>
      <c r="G65" s="159"/>
      <c r="I65" s="136">
        <f>IF(AND($I56&gt;999999,$I56&lt;10000000),I60,0)</f>
        <v>0</v>
      </c>
      <c r="J65" s="136" t="e">
        <f>IF(AND($J56&gt;999999,$J56&lt;10000000),J60,0)</f>
        <v>#DIV/0!</v>
      </c>
      <c r="K65" s="136">
        <f>IF(AND($K56&gt;999999,$K56&lt;10000000),K60,0)</f>
        <v>0</v>
      </c>
      <c r="L65" s="136" t="e">
        <f>IF(AND($L56&gt;999999,$L56&lt;10000000),L60,0)</f>
        <v>#DIV/0!</v>
      </c>
    </row>
    <row r="66" spans="1:20" ht="17.25" x14ac:dyDescent="0.25">
      <c r="B66" s="8"/>
      <c r="C66" s="65"/>
      <c r="D66" s="69"/>
      <c r="E66" s="60"/>
      <c r="F66" s="159"/>
      <c r="G66" s="159"/>
      <c r="I66" s="136">
        <f>IF(AND($I56&gt;9999999,$I56&lt;100000000),I61,0)</f>
        <v>0</v>
      </c>
      <c r="J66" s="136" t="e">
        <f>IF(AND($J56&gt;9999999,$J56&lt;100000000),J61,0)</f>
        <v>#DIV/0!</v>
      </c>
      <c r="K66" s="136">
        <f>IF(AND($K56&gt;9999999,$K56&lt;100000000),K61,0)</f>
        <v>0</v>
      </c>
      <c r="L66" s="136" t="e">
        <f>IF(AND($L56&gt;9999999,$L56&lt;100000000),L61,0)</f>
        <v>#DIV/0!</v>
      </c>
    </row>
    <row r="67" spans="1:20" ht="19.5" thickBot="1" x14ac:dyDescent="0.3">
      <c r="A67" s="96" t="s">
        <v>95</v>
      </c>
      <c r="B67" s="68"/>
      <c r="C67" s="68"/>
      <c r="D67" s="68"/>
      <c r="E67" s="68"/>
      <c r="F67" s="159"/>
      <c r="G67" s="159"/>
      <c r="I67" s="134"/>
      <c r="J67" s="134"/>
      <c r="K67" s="134"/>
      <c r="L67" s="134"/>
    </row>
    <row r="68" spans="1:20" ht="19.5" thickBot="1" x14ac:dyDescent="0.3">
      <c r="A68" s="4" t="s">
        <v>96</v>
      </c>
      <c r="B68" s="154">
        <v>1</v>
      </c>
      <c r="C68" s="70">
        <f>B68*5</f>
        <v>5</v>
      </c>
      <c r="D68" s="53"/>
      <c r="E68" s="70">
        <f>D68*5</f>
        <v>0</v>
      </c>
      <c r="F68" s="159"/>
      <c r="G68" s="159"/>
      <c r="I68" s="133">
        <f>SUM(I63:I66)</f>
        <v>180000</v>
      </c>
      <c r="J68" s="133" t="e">
        <f>SUM(J63:J66)</f>
        <v>#DIV/0!</v>
      </c>
      <c r="K68" s="133">
        <f>SUM(K63:K66)</f>
        <v>320000</v>
      </c>
      <c r="L68" s="133" t="e">
        <f>SUM(L63:L66)</f>
        <v>#DIV/0!</v>
      </c>
    </row>
    <row r="69" spans="1:20" ht="15.75" thickBot="1" x14ac:dyDescent="0.3">
      <c r="A69" s="4" t="s">
        <v>97</v>
      </c>
      <c r="B69" s="154">
        <v>0</v>
      </c>
      <c r="C69" s="70">
        <f>B69*10</f>
        <v>0</v>
      </c>
      <c r="D69" s="53"/>
      <c r="E69" s="70">
        <f>D69*10</f>
        <v>0</v>
      </c>
      <c r="F69" s="159"/>
      <c r="G69" s="159"/>
      <c r="I69" s="102"/>
      <c r="J69" s="102"/>
      <c r="K69" s="102"/>
      <c r="L69" s="102"/>
    </row>
    <row r="70" spans="1:20" ht="19.5" thickBot="1" x14ac:dyDescent="0.3">
      <c r="A70" s="4" t="s">
        <v>98</v>
      </c>
      <c r="B70" s="154">
        <v>1</v>
      </c>
      <c r="C70" s="70">
        <f>B70*20</f>
        <v>20</v>
      </c>
      <c r="D70" s="53"/>
      <c r="E70" s="70">
        <f>D70*20</f>
        <v>0</v>
      </c>
      <c r="F70" s="159"/>
      <c r="G70" s="159"/>
      <c r="I70" s="133">
        <f>C73</f>
        <v>175526.125</v>
      </c>
      <c r="J70" s="133" t="e">
        <f>E73</f>
        <v>#DIV/0!</v>
      </c>
      <c r="K70" s="133">
        <f>C74</f>
        <v>309913.314453125</v>
      </c>
      <c r="L70" s="133" t="e">
        <f>E74</f>
        <v>#DIV/0!</v>
      </c>
    </row>
    <row r="71" spans="1:20" ht="15.75" hidden="1" customHeight="1" x14ac:dyDescent="0.25">
      <c r="A71" s="71" t="s">
        <v>25</v>
      </c>
      <c r="B71" s="72"/>
      <c r="C71" s="73">
        <f>(SUM(C68:C70))*0.005</f>
        <v>0.125</v>
      </c>
      <c r="D71" s="74"/>
      <c r="E71" s="75">
        <f>(SUM(E67:E70))*0.005</f>
        <v>0</v>
      </c>
      <c r="F71" s="159"/>
      <c r="G71" s="159"/>
      <c r="I71" s="134"/>
      <c r="J71" s="134"/>
      <c r="K71" s="134"/>
      <c r="L71" s="134"/>
    </row>
    <row r="72" spans="1:20" ht="15.75" hidden="1" customHeight="1" thickBot="1" x14ac:dyDescent="0.3">
      <c r="A72" s="5" t="s">
        <v>24</v>
      </c>
      <c r="B72" s="8"/>
      <c r="C72" s="76">
        <f>$C$28</f>
        <v>87000</v>
      </c>
      <c r="D72" s="77"/>
      <c r="E72" s="78">
        <f>$E$28</f>
        <v>0</v>
      </c>
      <c r="F72" s="159"/>
      <c r="G72" s="159"/>
      <c r="I72" s="135">
        <f>ROUND(I70,-3)</f>
        <v>176000</v>
      </c>
      <c r="J72" s="135" t="e">
        <f>ROUND(J70,-3)</f>
        <v>#DIV/0!</v>
      </c>
      <c r="K72" s="135">
        <f>ROUND(K70,-3)</f>
        <v>310000</v>
      </c>
      <c r="L72" s="135" t="e">
        <f>ROUND(L70,-3)</f>
        <v>#DIV/0!</v>
      </c>
    </row>
    <row r="73" spans="1:20" ht="18" thickBot="1" x14ac:dyDescent="0.3">
      <c r="A73" s="37" t="s">
        <v>90</v>
      </c>
      <c r="B73" s="111">
        <f>I82</f>
        <v>180000</v>
      </c>
      <c r="C73" s="112">
        <f>($C$27+1+C71)*$C$28</f>
        <v>175526.125</v>
      </c>
      <c r="D73" s="113" t="e">
        <f>J82</f>
        <v>#DIV/0!</v>
      </c>
      <c r="E73" s="148" t="e">
        <f>($E$27+1+E71)*$E$28</f>
        <v>#DIV/0!</v>
      </c>
      <c r="F73" s="159"/>
      <c r="G73" s="159"/>
      <c r="I73" s="135">
        <f>ROUND(I70,-4)</f>
        <v>180000</v>
      </c>
      <c r="J73" s="135" t="e">
        <f>ROUND(J70,-4)</f>
        <v>#DIV/0!</v>
      </c>
      <c r="K73" s="135">
        <f>ROUND(K70,-4)</f>
        <v>310000</v>
      </c>
      <c r="L73" s="135" t="e">
        <f>ROUND(L70,-4)</f>
        <v>#DIV/0!</v>
      </c>
    </row>
    <row r="74" spans="1:20" ht="18" thickBot="1" x14ac:dyDescent="0.3">
      <c r="A74" s="144" t="s">
        <v>28</v>
      </c>
      <c r="B74" s="145">
        <f>K82</f>
        <v>310000</v>
      </c>
      <c r="C74" s="152">
        <f>(($B$11-$B$10)/$B$11*C73)+C73</f>
        <v>309913.314453125</v>
      </c>
      <c r="D74" s="147" t="e">
        <f>L82</f>
        <v>#DIV/0!</v>
      </c>
      <c r="E74" s="153" t="e">
        <f>(($D$11-$D$10)/$D$11*E73)+E73</f>
        <v>#DIV/0!</v>
      </c>
      <c r="F74" s="159"/>
      <c r="G74" s="159"/>
      <c r="I74" s="135">
        <f>ROUND(I70,-5)</f>
        <v>200000</v>
      </c>
      <c r="J74" s="135" t="e">
        <f>ROUND(J70,-5)</f>
        <v>#DIV/0!</v>
      </c>
      <c r="K74" s="135">
        <f>ROUND(K70,-5)</f>
        <v>300000</v>
      </c>
      <c r="L74" s="135" t="e">
        <f>ROUND(L70,-5)</f>
        <v>#DIV/0!</v>
      </c>
    </row>
    <row r="75" spans="1:20" s="12" customFormat="1" ht="17.25" x14ac:dyDescent="0.25">
      <c r="A75" s="11" t="s">
        <v>91</v>
      </c>
      <c r="B75" s="114"/>
      <c r="C75" s="79" t="b">
        <f>IF($B$5&gt;65,"YES")</f>
        <v>0</v>
      </c>
      <c r="D75" s="115" t="b">
        <f>E75</f>
        <v>0</v>
      </c>
      <c r="E75" s="80" t="b">
        <f>IF($D$5&gt;65,"YES")</f>
        <v>0</v>
      </c>
      <c r="F75" s="159"/>
      <c r="G75" s="159"/>
      <c r="H75" s="99"/>
      <c r="I75" s="135">
        <f>ROUND(I70,-6)</f>
        <v>0</v>
      </c>
      <c r="J75" s="135" t="e">
        <f>ROUND(J70,-6)</f>
        <v>#DIV/0!</v>
      </c>
      <c r="K75" s="135">
        <f>ROUND(K70,-6)</f>
        <v>0</v>
      </c>
      <c r="L75" s="135" t="e">
        <f>ROUND(L70,-6)</f>
        <v>#DIV/0!</v>
      </c>
      <c r="M75" s="99"/>
      <c r="N75" s="99"/>
      <c r="O75" s="99"/>
      <c r="P75" s="99"/>
      <c r="Q75" s="99"/>
      <c r="R75" s="99"/>
      <c r="S75" s="99"/>
      <c r="T75" s="99"/>
    </row>
    <row r="76" spans="1:20" s="12" customFormat="1" x14ac:dyDescent="0.25">
      <c r="A76" s="11" t="s">
        <v>92</v>
      </c>
      <c r="B76" s="116"/>
      <c r="C76" s="79" t="b">
        <f>IF($B$6&gt;65,"YES")</f>
        <v>0</v>
      </c>
      <c r="D76" s="115" t="b">
        <f>E76</f>
        <v>0</v>
      </c>
      <c r="E76" s="80" t="b">
        <f>IF($D$6&gt;65,"YES")</f>
        <v>0</v>
      </c>
      <c r="F76" s="159"/>
      <c r="G76" s="159"/>
      <c r="H76" s="99"/>
      <c r="I76" s="134"/>
      <c r="J76" s="134"/>
      <c r="K76" s="134"/>
      <c r="L76" s="134"/>
      <c r="M76" s="99"/>
      <c r="N76" s="99"/>
      <c r="O76" s="99"/>
      <c r="P76" s="99"/>
      <c r="Q76" s="99"/>
      <c r="R76" s="99"/>
      <c r="S76" s="99"/>
      <c r="T76" s="99"/>
    </row>
    <row r="77" spans="1:20" ht="17.25" x14ac:dyDescent="0.25">
      <c r="A77" s="7" t="s">
        <v>26</v>
      </c>
      <c r="B77" s="117">
        <f>B74/3</f>
        <v>103333.33333333333</v>
      </c>
      <c r="C77" s="118">
        <f>C73/3</f>
        <v>58508.708333333336</v>
      </c>
      <c r="D77" s="119" t="e">
        <f t="shared" ref="D77" si="5">D74/3</f>
        <v>#DIV/0!</v>
      </c>
      <c r="E77" s="81" t="e">
        <f>E73/3</f>
        <v>#DIV/0!</v>
      </c>
      <c r="F77" s="159"/>
      <c r="G77" s="159"/>
      <c r="I77" s="136">
        <f>IF(AND($I70&gt;9999,$I70&lt;100000),I73,0)</f>
        <v>0</v>
      </c>
      <c r="J77" s="136" t="e">
        <f>IF(AND($J70&gt;9999,$J70&lt;100000),J73,0)</f>
        <v>#DIV/0!</v>
      </c>
      <c r="K77" s="136">
        <f>IF(AND($K70&gt;9999,$K70&lt;100000),K73,0)</f>
        <v>0</v>
      </c>
      <c r="L77" s="136" t="e">
        <f>IF(AND($L70&gt;9999,$L70&lt;100000),L73,0)</f>
        <v>#DIV/0!</v>
      </c>
    </row>
    <row r="78" spans="1:20" ht="17.25" x14ac:dyDescent="0.25">
      <c r="A78" s="7" t="s">
        <v>27</v>
      </c>
      <c r="B78" s="120">
        <f>ROUND(C78,-4)</f>
        <v>40000</v>
      </c>
      <c r="C78" s="118">
        <f>C77*0.7</f>
        <v>40956.095833333333</v>
      </c>
      <c r="D78" s="121" t="e">
        <f>ROUND(E78,-4)</f>
        <v>#DIV/0!</v>
      </c>
      <c r="E78" s="81" t="e">
        <f>E77*0.7</f>
        <v>#DIV/0!</v>
      </c>
      <c r="F78" s="159"/>
      <c r="G78" s="159"/>
      <c r="I78" s="136">
        <f>IF(AND($I70&gt;99999,$I70&lt;1000000),I73,0)</f>
        <v>180000</v>
      </c>
      <c r="J78" s="136" t="e">
        <f>IF(AND($J70&gt;99999,$J70&lt;1000000),J73,0)</f>
        <v>#DIV/0!</v>
      </c>
      <c r="K78" s="136">
        <f>IF(AND($K70&gt;99999,$K70&lt;1000000),K73,0)</f>
        <v>310000</v>
      </c>
      <c r="L78" s="136" t="e">
        <f>IF(AND($L70&gt;99999,$L70&lt;1000000),L73,0)</f>
        <v>#DIV/0!</v>
      </c>
    </row>
    <row r="79" spans="1:20" ht="18" thickBot="1" x14ac:dyDescent="0.3">
      <c r="A79" s="82" t="s">
        <v>29</v>
      </c>
      <c r="B79" s="122">
        <f>B73/$B$10</f>
        <v>9.6</v>
      </c>
      <c r="C79" s="83">
        <f>(C73/$B$10)*0.01</f>
        <v>9.3613933333333343E-2</v>
      </c>
      <c r="D79" s="122" t="e">
        <f>D73/$D$10</f>
        <v>#DIV/0!</v>
      </c>
      <c r="E79" s="84" t="e">
        <f>(E73/$D$10)*0.01</f>
        <v>#DIV/0!</v>
      </c>
      <c r="F79" s="159"/>
      <c r="G79" s="159"/>
      <c r="I79" s="136">
        <f>IF(AND($I70&gt;999999,$I70&lt;10000000),I74,0)</f>
        <v>0</v>
      </c>
      <c r="J79" s="136" t="e">
        <f>IF(AND($J70&gt;999999,$J70&lt;10000000),J74,0)</f>
        <v>#DIV/0!</v>
      </c>
      <c r="K79" s="136">
        <f>IF(AND($K70&gt;999999,$K70&lt;10000000),K74,0)</f>
        <v>0</v>
      </c>
      <c r="L79" s="136" t="e">
        <f>IF(AND($L70&gt;999999,$L70&lt;10000000),L74,0)</f>
        <v>#DIV/0!</v>
      </c>
    </row>
    <row r="80" spans="1:20" ht="17.25" x14ac:dyDescent="0.25">
      <c r="B80" s="8"/>
      <c r="C80" s="65"/>
      <c r="D80" s="69"/>
      <c r="E80" s="60"/>
      <c r="F80" s="159"/>
      <c r="G80" s="159"/>
      <c r="I80" s="136">
        <f>IF(AND($I70&gt;9999999,$I70&lt;100000000),I75,0)</f>
        <v>0</v>
      </c>
      <c r="J80" s="136" t="e">
        <f>IF(AND($J70&gt;9999999,$J70&lt;100000000),J75,0)</f>
        <v>#DIV/0!</v>
      </c>
      <c r="K80" s="136">
        <f>IF(AND($K70&gt;9999999,$K70&lt;100000000),K75,0)</f>
        <v>0</v>
      </c>
      <c r="L80" s="136" t="e">
        <f>IF(AND($L70&gt;9999999,$L70&lt;100000000),L75,0)</f>
        <v>#DIV/0!</v>
      </c>
    </row>
    <row r="81" spans="1:20" ht="19.5" thickBot="1" x14ac:dyDescent="0.3">
      <c r="A81" s="96" t="s">
        <v>99</v>
      </c>
      <c r="B81" s="68"/>
      <c r="C81" s="68"/>
      <c r="D81" s="68"/>
      <c r="E81" s="68"/>
      <c r="F81" s="159"/>
      <c r="G81" s="159"/>
      <c r="I81" s="134"/>
      <c r="J81" s="134"/>
      <c r="K81" s="134"/>
      <c r="L81" s="134"/>
    </row>
    <row r="82" spans="1:20" ht="19.5" thickBot="1" x14ac:dyDescent="0.3">
      <c r="A82" s="4" t="s">
        <v>87</v>
      </c>
      <c r="B82" s="154">
        <v>1</v>
      </c>
      <c r="C82" s="70">
        <f>B82*10</f>
        <v>10</v>
      </c>
      <c r="D82" s="53"/>
      <c r="E82" s="70">
        <f>D82*10</f>
        <v>0</v>
      </c>
      <c r="F82" s="159"/>
      <c r="G82" s="159"/>
      <c r="I82" s="133">
        <f>SUM(I77:I80)</f>
        <v>180000</v>
      </c>
      <c r="J82" s="133" t="e">
        <f>SUM(J77:J80)</f>
        <v>#DIV/0!</v>
      </c>
      <c r="K82" s="133">
        <f>SUM(K77:K80)</f>
        <v>310000</v>
      </c>
      <c r="L82" s="133" t="e">
        <f>SUM(L77:L80)</f>
        <v>#DIV/0!</v>
      </c>
    </row>
    <row r="83" spans="1:20" ht="15.75" thickBot="1" x14ac:dyDescent="0.3">
      <c r="A83" s="4" t="s">
        <v>88</v>
      </c>
      <c r="B83" s="154">
        <v>0</v>
      </c>
      <c r="C83" s="70">
        <f>B83*15</f>
        <v>0</v>
      </c>
      <c r="D83" s="53"/>
      <c r="E83" s="70">
        <f>D83*15</f>
        <v>0</v>
      </c>
      <c r="F83" s="159"/>
      <c r="G83" s="159"/>
      <c r="I83" s="138"/>
      <c r="J83" s="138"/>
      <c r="K83" s="138"/>
      <c r="L83" s="138"/>
    </row>
    <row r="84" spans="1:20" ht="19.5" thickBot="1" x14ac:dyDescent="0.3">
      <c r="A84" s="4" t="s">
        <v>89</v>
      </c>
      <c r="B84" s="154">
        <v>1</v>
      </c>
      <c r="C84" s="70">
        <f t="shared" ref="C84:E84" si="6">B84*5</f>
        <v>5</v>
      </c>
      <c r="D84" s="53"/>
      <c r="E84" s="70">
        <f t="shared" si="6"/>
        <v>0</v>
      </c>
      <c r="F84" s="159"/>
      <c r="G84" s="159"/>
      <c r="I84" s="133">
        <f>C87</f>
        <v>153609.375</v>
      </c>
      <c r="J84" s="133" t="e">
        <f>E87</f>
        <v>#DIV/0!</v>
      </c>
      <c r="K84" s="133">
        <f>C88</f>
        <v>460828.125</v>
      </c>
      <c r="L84" s="133" t="e">
        <f>E88</f>
        <v>#DIV/0!</v>
      </c>
    </row>
    <row r="85" spans="1:20" ht="15.75" hidden="1" customHeight="1" x14ac:dyDescent="0.25">
      <c r="A85" s="71" t="s">
        <v>25</v>
      </c>
      <c r="B85" s="72"/>
      <c r="C85" s="73">
        <f>(SUM(C82:C84))*0.005</f>
        <v>7.4999999999999997E-2</v>
      </c>
      <c r="D85" s="74"/>
      <c r="E85" s="75">
        <f>(SUM(E81:E84))*0.005</f>
        <v>0</v>
      </c>
      <c r="F85" s="159"/>
      <c r="G85" s="159"/>
      <c r="I85" s="134"/>
      <c r="J85" s="134"/>
      <c r="K85" s="134"/>
      <c r="L85" s="134"/>
    </row>
    <row r="86" spans="1:20" ht="15.75" hidden="1" customHeight="1" thickBot="1" x14ac:dyDescent="0.3">
      <c r="A86" s="5" t="s">
        <v>24</v>
      </c>
      <c r="B86" s="8"/>
      <c r="C86" s="76">
        <f>$C$28</f>
        <v>87000</v>
      </c>
      <c r="D86" s="77"/>
      <c r="E86" s="78">
        <f>$E$28</f>
        <v>0</v>
      </c>
      <c r="F86" s="159"/>
      <c r="G86" s="159"/>
      <c r="I86" s="135">
        <f>ROUND(I84,-3)</f>
        <v>154000</v>
      </c>
      <c r="J86" s="135" t="e">
        <f>ROUND(J84,-3)</f>
        <v>#DIV/0!</v>
      </c>
      <c r="K86" s="135">
        <f>ROUND(K84,-3)</f>
        <v>461000</v>
      </c>
      <c r="L86" s="135" t="e">
        <f>ROUND(L84,-3)</f>
        <v>#DIV/0!</v>
      </c>
    </row>
    <row r="87" spans="1:20" ht="18" thickBot="1" x14ac:dyDescent="0.3">
      <c r="A87" s="37" t="s">
        <v>90</v>
      </c>
      <c r="B87" s="111">
        <f>I96</f>
        <v>150000</v>
      </c>
      <c r="C87" s="152">
        <f>(($B$11-$B$10)/$B$11*C86)+C86</f>
        <v>153609.375</v>
      </c>
      <c r="D87" s="113" t="e">
        <f>J96</f>
        <v>#DIV/0!</v>
      </c>
      <c r="E87" s="148" t="e">
        <f>($E$27+1+E85)*$E$28</f>
        <v>#DIV/0!</v>
      </c>
      <c r="F87" s="159"/>
      <c r="G87" s="159"/>
      <c r="I87" s="135">
        <f>ROUND(I84,-4)</f>
        <v>150000</v>
      </c>
      <c r="J87" s="135" t="e">
        <f>ROUND(J84,-4)</f>
        <v>#DIV/0!</v>
      </c>
      <c r="K87" s="135">
        <f>ROUND(K84,-4)</f>
        <v>460000</v>
      </c>
      <c r="L87" s="135" t="e">
        <f>ROUND(L84,-4)</f>
        <v>#DIV/0!</v>
      </c>
    </row>
    <row r="88" spans="1:20" ht="18" thickBot="1" x14ac:dyDescent="0.3">
      <c r="A88" s="144" t="s">
        <v>28</v>
      </c>
      <c r="B88" s="145">
        <f>K96</f>
        <v>460000</v>
      </c>
      <c r="C88" s="146">
        <f>(1+($C$11*0.025))*C87</f>
        <v>460828.125</v>
      </c>
      <c r="D88" s="147" t="e">
        <f>L96</f>
        <v>#DIV/0!</v>
      </c>
      <c r="E88" s="153" t="e">
        <f>(($D$11-$D$10)/$D$11*E87)+E87</f>
        <v>#DIV/0!</v>
      </c>
      <c r="F88" s="159"/>
      <c r="G88" s="159"/>
      <c r="I88" s="135">
        <f>ROUND(I84,-5)</f>
        <v>200000</v>
      </c>
      <c r="J88" s="135" t="e">
        <f>ROUND(J84,-5)</f>
        <v>#DIV/0!</v>
      </c>
      <c r="K88" s="135">
        <f>ROUND(K84,-5)</f>
        <v>500000</v>
      </c>
      <c r="L88" s="135" t="e">
        <f>ROUND(L84,-5)</f>
        <v>#DIV/0!</v>
      </c>
    </row>
    <row r="89" spans="1:20" s="12" customFormat="1" ht="17.25" x14ac:dyDescent="0.25">
      <c r="A89" s="11" t="s">
        <v>91</v>
      </c>
      <c r="B89" s="114"/>
      <c r="C89" s="79" t="b">
        <f>IF($B$5&gt;65,"YES")</f>
        <v>0</v>
      </c>
      <c r="D89" s="115" t="b">
        <f>E89</f>
        <v>0</v>
      </c>
      <c r="E89" s="80" t="b">
        <f>IF($D$5&gt;65,"YES")</f>
        <v>0</v>
      </c>
      <c r="F89" s="159"/>
      <c r="G89" s="159"/>
      <c r="H89" s="99"/>
      <c r="I89" s="135">
        <f>ROUND(I84,-6)</f>
        <v>0</v>
      </c>
      <c r="J89" s="135" t="e">
        <f>ROUND(J84,-6)</f>
        <v>#DIV/0!</v>
      </c>
      <c r="K89" s="135">
        <f>ROUND(K84,-6)</f>
        <v>0</v>
      </c>
      <c r="L89" s="135" t="e">
        <f>ROUND(L84,-6)</f>
        <v>#DIV/0!</v>
      </c>
      <c r="M89" s="99"/>
      <c r="N89" s="99"/>
      <c r="O89" s="99"/>
      <c r="P89" s="99"/>
      <c r="Q89" s="99"/>
      <c r="R89" s="99"/>
      <c r="S89" s="99"/>
      <c r="T89" s="99"/>
    </row>
    <row r="90" spans="1:20" s="12" customFormat="1" x14ac:dyDescent="0.25">
      <c r="A90" s="11" t="s">
        <v>92</v>
      </c>
      <c r="B90" s="116"/>
      <c r="C90" s="79" t="b">
        <f>IF($B$6&gt;65,"YES")</f>
        <v>0</v>
      </c>
      <c r="D90" s="115" t="b">
        <f>E90</f>
        <v>0</v>
      </c>
      <c r="E90" s="80" t="b">
        <f>IF($D$6&gt;65,"YES")</f>
        <v>0</v>
      </c>
      <c r="F90" s="159"/>
      <c r="G90" s="159"/>
      <c r="H90" s="99"/>
      <c r="I90" s="134"/>
      <c r="J90" s="134"/>
      <c r="K90" s="134"/>
      <c r="L90" s="134"/>
      <c r="M90" s="99"/>
      <c r="N90" s="99"/>
      <c r="O90" s="99"/>
      <c r="P90" s="99"/>
      <c r="Q90" s="99"/>
      <c r="R90" s="99"/>
      <c r="S90" s="99"/>
      <c r="T90" s="99"/>
    </row>
    <row r="91" spans="1:20" ht="17.25" x14ac:dyDescent="0.25">
      <c r="A91" s="7" t="s">
        <v>26</v>
      </c>
      <c r="B91" s="117">
        <f>B88/3</f>
        <v>153333.33333333334</v>
      </c>
      <c r="C91" s="118">
        <f>C87/3</f>
        <v>51203.125</v>
      </c>
      <c r="D91" s="119" t="e">
        <f t="shared" ref="D91" si="7">D88/3</f>
        <v>#DIV/0!</v>
      </c>
      <c r="E91" s="81" t="e">
        <f>E87/3</f>
        <v>#DIV/0!</v>
      </c>
      <c r="F91" s="159"/>
      <c r="G91" s="159"/>
      <c r="I91" s="136">
        <f>IF(AND($I84&gt;9999,$I84&lt;100000),I87,0)</f>
        <v>0</v>
      </c>
      <c r="J91" s="136" t="e">
        <f>IF(AND($J84&gt;9999,$J84&lt;100000),J87,0)</f>
        <v>#DIV/0!</v>
      </c>
      <c r="K91" s="136">
        <f>IF(AND($K84&gt;9999,$K84&lt;100000),K87,0)</f>
        <v>0</v>
      </c>
      <c r="L91" s="136" t="e">
        <f>IF(AND($L84&gt;9999,$L84&lt;100000),L87,0)</f>
        <v>#DIV/0!</v>
      </c>
    </row>
    <row r="92" spans="1:20" ht="17.25" x14ac:dyDescent="0.25">
      <c r="A92" s="7" t="s">
        <v>27</v>
      </c>
      <c r="B92" s="120">
        <f>ROUND(C92,-4)</f>
        <v>40000</v>
      </c>
      <c r="C92" s="118">
        <f>C91*0.7</f>
        <v>35842.1875</v>
      </c>
      <c r="D92" s="121" t="e">
        <f>ROUND(E92,-4)</f>
        <v>#DIV/0!</v>
      </c>
      <c r="E92" s="81" t="e">
        <f>E91*0.7</f>
        <v>#DIV/0!</v>
      </c>
      <c r="F92" s="159"/>
      <c r="G92" s="159"/>
      <c r="I92" s="136">
        <f>IF(AND($I84&gt;99999,$I84&lt;1000000),I87,0)</f>
        <v>150000</v>
      </c>
      <c r="J92" s="136" t="e">
        <f>IF(AND($J84&gt;99999,$J84&lt;1000000),J87,0)</f>
        <v>#DIV/0!</v>
      </c>
      <c r="K92" s="136">
        <f>IF(AND($K84&gt;99999,$K84&lt;1000000),K87,0)</f>
        <v>460000</v>
      </c>
      <c r="L92" s="136" t="e">
        <f>IF(AND($L84&gt;99999,$L84&lt;1000000),L87,0)</f>
        <v>#DIV/0!</v>
      </c>
    </row>
    <row r="93" spans="1:20" ht="18" thickBot="1" x14ac:dyDescent="0.3">
      <c r="A93" s="82" t="s">
        <v>29</v>
      </c>
      <c r="B93" s="122">
        <f>B87/$B$10</f>
        <v>8</v>
      </c>
      <c r="C93" s="83">
        <f>(C87/$B$10)*0.01</f>
        <v>8.1925000000000012E-2</v>
      </c>
      <c r="D93" s="122" t="e">
        <f>D87/$D$10</f>
        <v>#DIV/0!</v>
      </c>
      <c r="E93" s="84" t="e">
        <f>(E87/$D$10)*0.01</f>
        <v>#DIV/0!</v>
      </c>
      <c r="F93" s="159"/>
      <c r="G93" s="159"/>
      <c r="I93" s="136">
        <f>IF(AND($I84&gt;999999,$I84&lt;10000000),I88,0)</f>
        <v>0</v>
      </c>
      <c r="J93" s="136" t="e">
        <f>IF(AND($J84&gt;999999,$J84&lt;10000000),J88,0)</f>
        <v>#DIV/0!</v>
      </c>
      <c r="K93" s="136">
        <f>IF(AND($K84&gt;999999,$K84&lt;10000000),K88,0)</f>
        <v>0</v>
      </c>
      <c r="L93" s="136" t="e">
        <f>IF(AND($L84&gt;999999,$L84&lt;10000000),L88,0)</f>
        <v>#DIV/0!</v>
      </c>
    </row>
    <row r="94" spans="1:20" ht="17.25" x14ac:dyDescent="0.25">
      <c r="B94" s="8"/>
      <c r="C94" s="65"/>
      <c r="D94" s="69"/>
      <c r="E94" s="60"/>
      <c r="F94" s="159"/>
      <c r="G94" s="159"/>
      <c r="I94" s="136">
        <f>IF(AND($I84&gt;9999999,$I84&lt;100000000),I89,0)</f>
        <v>0</v>
      </c>
      <c r="J94" s="136" t="e">
        <f>IF(AND($J84&gt;9999999,$J84&lt;100000000),J89,0)</f>
        <v>#DIV/0!</v>
      </c>
      <c r="K94" s="136">
        <f>IF(AND($K84&gt;9999999,$K84&lt;100000000),K89,0)</f>
        <v>0</v>
      </c>
      <c r="L94" s="136" t="e">
        <f>IF(AND($L84&gt;9999999,$L84&lt;100000000),L89,0)</f>
        <v>#DIV/0!</v>
      </c>
    </row>
    <row r="95" spans="1:20" ht="19.5" thickBot="1" x14ac:dyDescent="0.3">
      <c r="A95" s="96" t="s">
        <v>100</v>
      </c>
      <c r="B95" s="68"/>
      <c r="C95" s="68"/>
      <c r="D95" s="68"/>
      <c r="E95" s="68"/>
      <c r="F95" s="159"/>
      <c r="G95" s="159"/>
      <c r="I95" s="134"/>
      <c r="J95" s="134"/>
      <c r="K95" s="134"/>
      <c r="L95" s="134"/>
    </row>
    <row r="96" spans="1:20" ht="19.5" thickBot="1" x14ac:dyDescent="0.3">
      <c r="A96" s="4" t="s">
        <v>101</v>
      </c>
      <c r="B96" s="154">
        <v>1</v>
      </c>
      <c r="C96" s="70">
        <f>B96*10</f>
        <v>10</v>
      </c>
      <c r="D96" s="53"/>
      <c r="E96" s="70">
        <f>D96*10</f>
        <v>0</v>
      </c>
      <c r="F96" s="159"/>
      <c r="G96" s="159"/>
      <c r="I96" s="133">
        <f>SUM(I91:I94)</f>
        <v>150000</v>
      </c>
      <c r="J96" s="133" t="e">
        <f>SUM(J91:J94)</f>
        <v>#DIV/0!</v>
      </c>
      <c r="K96" s="133">
        <f>SUM(K91:K94)</f>
        <v>460000</v>
      </c>
      <c r="L96" s="133" t="e">
        <f>SUM(L91:L94)</f>
        <v>#DIV/0!</v>
      </c>
    </row>
    <row r="97" spans="1:20" x14ac:dyDescent="0.25">
      <c r="A97" s="4" t="s">
        <v>102</v>
      </c>
      <c r="B97" s="154">
        <v>0</v>
      </c>
      <c r="C97" s="70">
        <f>B97*10</f>
        <v>0</v>
      </c>
      <c r="D97" s="53"/>
      <c r="E97" s="70">
        <f>D97*10</f>
        <v>0</v>
      </c>
      <c r="F97" s="159"/>
      <c r="G97" s="159"/>
      <c r="I97" s="102"/>
      <c r="J97" s="102"/>
      <c r="K97" s="102"/>
      <c r="L97" s="102"/>
    </row>
    <row r="98" spans="1:20" x14ac:dyDescent="0.25">
      <c r="A98" s="4" t="s">
        <v>103</v>
      </c>
      <c r="B98" s="154">
        <v>1</v>
      </c>
      <c r="C98" s="70">
        <f>B98*5</f>
        <v>5</v>
      </c>
      <c r="D98" s="53"/>
      <c r="E98" s="70">
        <f>D98*5</f>
        <v>0</v>
      </c>
      <c r="F98" s="159"/>
      <c r="G98" s="159"/>
    </row>
    <row r="99" spans="1:20" ht="15.75" thickBot="1" x14ac:dyDescent="0.3">
      <c r="A99" s="4" t="s">
        <v>104</v>
      </c>
      <c r="B99" s="154">
        <v>1</v>
      </c>
      <c r="C99" s="70">
        <f>B99*5</f>
        <v>5</v>
      </c>
      <c r="D99" s="131"/>
      <c r="E99" s="70">
        <f>D99*5</f>
        <v>0</v>
      </c>
      <c r="F99" s="159"/>
      <c r="G99" s="159"/>
    </row>
    <row r="100" spans="1:20" ht="19.5" thickBot="1" x14ac:dyDescent="0.3">
      <c r="A100" s="4" t="s">
        <v>105</v>
      </c>
      <c r="B100" s="154">
        <v>0</v>
      </c>
      <c r="C100" s="70">
        <f>B100*15</f>
        <v>0</v>
      </c>
      <c r="D100" s="131"/>
      <c r="E100" s="70">
        <f>D100*15</f>
        <v>0</v>
      </c>
      <c r="F100" s="159"/>
      <c r="G100" s="159"/>
      <c r="I100" s="133">
        <f>C105</f>
        <v>179876.125</v>
      </c>
      <c r="J100" s="133" t="e">
        <f>E105</f>
        <v>#DIV/0!</v>
      </c>
      <c r="K100" s="133">
        <f>C106</f>
        <v>317593.783203125</v>
      </c>
      <c r="L100" s="133" t="e">
        <f>E106</f>
        <v>#DIV/0!</v>
      </c>
    </row>
    <row r="101" spans="1:20" x14ac:dyDescent="0.25">
      <c r="A101" s="4" t="s">
        <v>106</v>
      </c>
      <c r="B101" s="154">
        <v>1</v>
      </c>
      <c r="C101" s="70">
        <f>B101*5</f>
        <v>5</v>
      </c>
      <c r="D101" s="131"/>
      <c r="E101" s="70">
        <f>D101*5</f>
        <v>0</v>
      </c>
      <c r="F101" s="159"/>
      <c r="G101" s="159"/>
      <c r="I101" s="134"/>
      <c r="J101" s="134"/>
      <c r="K101" s="134"/>
      <c r="L101" s="134"/>
    </row>
    <row r="102" spans="1:20" ht="18" thickBot="1" x14ac:dyDescent="0.3">
      <c r="A102" s="4" t="s">
        <v>107</v>
      </c>
      <c r="B102" s="154">
        <v>1</v>
      </c>
      <c r="C102" s="70">
        <f>B102*10</f>
        <v>10</v>
      </c>
      <c r="D102" s="131"/>
      <c r="E102" s="70">
        <f>D102*10</f>
        <v>0</v>
      </c>
      <c r="F102" s="159"/>
      <c r="G102" s="159"/>
      <c r="I102" s="135">
        <f>ROUND(I100,-3)</f>
        <v>180000</v>
      </c>
      <c r="J102" s="135" t="e">
        <f>ROUND(J100,-3)</f>
        <v>#DIV/0!</v>
      </c>
      <c r="K102" s="135">
        <f>ROUND(K100,-3)</f>
        <v>318000</v>
      </c>
      <c r="L102" s="135" t="e">
        <f>ROUND(L100,-3)</f>
        <v>#DIV/0!</v>
      </c>
    </row>
    <row r="103" spans="1:20" ht="15.75" hidden="1" customHeight="1" x14ac:dyDescent="0.25">
      <c r="A103" s="71" t="s">
        <v>25</v>
      </c>
      <c r="B103" s="72"/>
      <c r="C103" s="73">
        <f>(SUM(C96:C102))*0.005</f>
        <v>0.17500000000000002</v>
      </c>
      <c r="D103" s="74"/>
      <c r="E103" s="75">
        <f>(SUM(E96:E102))*0.005</f>
        <v>0</v>
      </c>
      <c r="F103" s="159"/>
      <c r="G103" s="159"/>
      <c r="I103" s="135">
        <f>ROUND(I100,-4)</f>
        <v>180000</v>
      </c>
      <c r="J103" s="135" t="e">
        <f>ROUND(J100,-4)</f>
        <v>#DIV/0!</v>
      </c>
      <c r="K103" s="135">
        <f>ROUND(K100,-4)</f>
        <v>320000</v>
      </c>
      <c r="L103" s="135" t="e">
        <f>ROUND(L100,-4)</f>
        <v>#DIV/0!</v>
      </c>
    </row>
    <row r="104" spans="1:20" ht="15.75" hidden="1" customHeight="1" thickBot="1" x14ac:dyDescent="0.3">
      <c r="A104" s="5" t="s">
        <v>24</v>
      </c>
      <c r="B104" s="8"/>
      <c r="C104" s="76">
        <f>$C$28</f>
        <v>87000</v>
      </c>
      <c r="D104" s="77"/>
      <c r="E104" s="78">
        <f>$E$28</f>
        <v>0</v>
      </c>
      <c r="F104" s="159"/>
      <c r="G104" s="159"/>
      <c r="I104" s="135">
        <f>ROUND(I100,-5)</f>
        <v>200000</v>
      </c>
      <c r="J104" s="135" t="e">
        <f>ROUND(J100,-5)</f>
        <v>#DIV/0!</v>
      </c>
      <c r="K104" s="135">
        <f>ROUND(K100,-5)</f>
        <v>300000</v>
      </c>
      <c r="L104" s="135" t="e">
        <f>ROUND(L100,-5)</f>
        <v>#DIV/0!</v>
      </c>
    </row>
    <row r="105" spans="1:20" ht="18" thickBot="1" x14ac:dyDescent="0.3">
      <c r="A105" s="37" t="s">
        <v>90</v>
      </c>
      <c r="B105" s="111">
        <f>I112</f>
        <v>180000</v>
      </c>
      <c r="C105" s="112">
        <f>($C$27+1+C103)*$C$28</f>
        <v>179876.125</v>
      </c>
      <c r="D105" s="113" t="e">
        <f>J112</f>
        <v>#DIV/0!</v>
      </c>
      <c r="E105" s="148" t="e">
        <f>($E$27+1+E103)*$E$28</f>
        <v>#DIV/0!</v>
      </c>
      <c r="F105" s="159"/>
      <c r="G105" s="159"/>
      <c r="I105" s="135">
        <f>ROUND(I100,-6)</f>
        <v>0</v>
      </c>
      <c r="J105" s="135" t="e">
        <f>ROUND(J100,-6)</f>
        <v>#DIV/0!</v>
      </c>
      <c r="K105" s="135">
        <f>ROUND(K100,-6)</f>
        <v>0</v>
      </c>
      <c r="L105" s="135" t="e">
        <f>ROUND(L100,-6)</f>
        <v>#DIV/0!</v>
      </c>
    </row>
    <row r="106" spans="1:20" ht="15.75" thickBot="1" x14ac:dyDescent="0.3">
      <c r="A106" s="144" t="s">
        <v>28</v>
      </c>
      <c r="B106" s="145">
        <f>K112</f>
        <v>320000</v>
      </c>
      <c r="C106" s="152">
        <f>(($B$11-$B$10)/$B$11*C105)+C105</f>
        <v>317593.783203125</v>
      </c>
      <c r="D106" s="147" t="e">
        <f>L112</f>
        <v>#DIV/0!</v>
      </c>
      <c r="E106" s="153" t="e">
        <f>(($D$11-$D$10)/$D$11*E105)+E105</f>
        <v>#DIV/0!</v>
      </c>
      <c r="F106" s="159"/>
      <c r="G106" s="159"/>
      <c r="I106" s="134"/>
      <c r="J106" s="134"/>
      <c r="K106" s="134"/>
      <c r="L106" s="134"/>
    </row>
    <row r="107" spans="1:20" s="12" customFormat="1" ht="17.25" x14ac:dyDescent="0.25">
      <c r="A107" s="11" t="s">
        <v>91</v>
      </c>
      <c r="B107" s="114"/>
      <c r="C107" s="79" t="b">
        <f>IF($B$5&gt;65,"YES")</f>
        <v>0</v>
      </c>
      <c r="D107" s="115" t="b">
        <f>E107</f>
        <v>0</v>
      </c>
      <c r="E107" s="80" t="b">
        <f>IF($D$5&gt;65,"YES")</f>
        <v>0</v>
      </c>
      <c r="F107" s="159"/>
      <c r="G107" s="159"/>
      <c r="H107" s="99"/>
      <c r="I107" s="136">
        <f>IF(AND($I100&gt;9999,$I100&lt;100000),I103,0)</f>
        <v>0</v>
      </c>
      <c r="J107" s="136" t="e">
        <f>IF(AND($J100&gt;9999,$J100&lt;100000),J103,0)</f>
        <v>#DIV/0!</v>
      </c>
      <c r="K107" s="136">
        <f>IF(AND($K100&gt;9999,$K100&lt;100000),K103,0)</f>
        <v>0</v>
      </c>
      <c r="L107" s="136" t="e">
        <f>IF(AND($L100&gt;9999,$L100&lt;100000),L103,0)</f>
        <v>#DIV/0!</v>
      </c>
      <c r="M107" s="99"/>
      <c r="N107" s="99"/>
      <c r="O107" s="99"/>
      <c r="P107" s="99"/>
      <c r="Q107" s="99"/>
      <c r="R107" s="99"/>
      <c r="S107" s="99"/>
      <c r="T107" s="99"/>
    </row>
    <row r="108" spans="1:20" s="12" customFormat="1" ht="17.25" x14ac:dyDescent="0.25">
      <c r="A108" s="11" t="s">
        <v>92</v>
      </c>
      <c r="B108" s="116"/>
      <c r="C108" s="79" t="b">
        <f>IF($B$6&gt;65,"YES")</f>
        <v>0</v>
      </c>
      <c r="D108" s="115" t="b">
        <f>E108</f>
        <v>0</v>
      </c>
      <c r="E108" s="80" t="b">
        <f>IF($D$6&gt;65,"YES")</f>
        <v>0</v>
      </c>
      <c r="F108" s="159"/>
      <c r="G108" s="159"/>
      <c r="H108" s="99"/>
      <c r="I108" s="136">
        <f>IF(AND($I100&gt;99999,$I100&lt;1000000),I103,0)</f>
        <v>180000</v>
      </c>
      <c r="J108" s="136" t="e">
        <f>IF(AND($J100&gt;99999,$J100&lt;1000000),J103,0)</f>
        <v>#DIV/0!</v>
      </c>
      <c r="K108" s="136">
        <f>IF(AND($K100&gt;99999,$K100&lt;1000000),K103,0)</f>
        <v>320000</v>
      </c>
      <c r="L108" s="136" t="e">
        <f>IF(AND($L100&gt;99999,$L100&lt;1000000),L103,0)</f>
        <v>#DIV/0!</v>
      </c>
      <c r="M108" s="99"/>
      <c r="N108" s="99"/>
      <c r="O108" s="99"/>
      <c r="P108" s="99"/>
      <c r="Q108" s="99"/>
      <c r="R108" s="99"/>
      <c r="S108" s="99"/>
      <c r="T108" s="99"/>
    </row>
    <row r="109" spans="1:20" ht="17.25" x14ac:dyDescent="0.25">
      <c r="A109" s="7" t="s">
        <v>26</v>
      </c>
      <c r="B109" s="117">
        <f>B106/3</f>
        <v>106666.66666666667</v>
      </c>
      <c r="C109" s="118">
        <f>C105/3</f>
        <v>59958.708333333336</v>
      </c>
      <c r="D109" s="119" t="e">
        <f t="shared" ref="D109" si="8">D106/3</f>
        <v>#DIV/0!</v>
      </c>
      <c r="E109" s="81" t="e">
        <f>E105/3</f>
        <v>#DIV/0!</v>
      </c>
      <c r="F109" s="159"/>
      <c r="G109" s="159"/>
      <c r="I109" s="136">
        <f>IF(AND($I100&gt;999999,$I100&lt;10000000),I104,0)</f>
        <v>0</v>
      </c>
      <c r="J109" s="136" t="e">
        <f>IF(AND($J100&gt;999999,$J100&lt;10000000),J104,0)</f>
        <v>#DIV/0!</v>
      </c>
      <c r="K109" s="136">
        <f>IF(AND($K100&gt;999999,$K100&lt;10000000),K104,0)</f>
        <v>0</v>
      </c>
      <c r="L109" s="136" t="e">
        <f>IF(AND($L100&gt;999999,$L100&lt;10000000),L104,0)</f>
        <v>#DIV/0!</v>
      </c>
    </row>
    <row r="110" spans="1:20" ht="17.25" x14ac:dyDescent="0.25">
      <c r="A110" s="7" t="s">
        <v>27</v>
      </c>
      <c r="B110" s="120">
        <f>ROUND(C110,-4)</f>
        <v>40000</v>
      </c>
      <c r="C110" s="118">
        <f>C109*0.7</f>
        <v>41971.095833333333</v>
      </c>
      <c r="D110" s="121" t="e">
        <f>ROUND(E110,-4)</f>
        <v>#DIV/0!</v>
      </c>
      <c r="E110" s="81" t="e">
        <f>E109*0.7</f>
        <v>#DIV/0!</v>
      </c>
      <c r="F110" s="159"/>
      <c r="G110" s="159"/>
      <c r="I110" s="136">
        <f>IF(AND($I100&gt;9999999,$I100&lt;100000000),I105,0)</f>
        <v>0</v>
      </c>
      <c r="J110" s="136" t="e">
        <f>IF(AND($J100&gt;9999999,$J100&lt;100000000),J105,0)</f>
        <v>#DIV/0!</v>
      </c>
      <c r="K110" s="136">
        <f>IF(AND($K100&gt;9999999,$K100&lt;100000000),K105,0)</f>
        <v>0</v>
      </c>
      <c r="L110" s="136" t="e">
        <f>IF(AND($L100&gt;9999999,$L100&lt;100000000),L105,0)</f>
        <v>#DIV/0!</v>
      </c>
    </row>
    <row r="111" spans="1:20" ht="15.75" thickBot="1" x14ac:dyDescent="0.3">
      <c r="A111" s="82" t="s">
        <v>29</v>
      </c>
      <c r="B111" s="122">
        <f>B105/$B$10</f>
        <v>9.6</v>
      </c>
      <c r="C111" s="83">
        <f>(C105/$B$10)*0.01</f>
        <v>9.5933933333333332E-2</v>
      </c>
      <c r="D111" s="122" t="e">
        <f>D105/$D$10</f>
        <v>#DIV/0!</v>
      </c>
      <c r="E111" s="84" t="e">
        <f>(E105/$D$10)*0.01</f>
        <v>#DIV/0!</v>
      </c>
      <c r="F111" s="159"/>
      <c r="G111" s="159"/>
      <c r="I111" s="134"/>
      <c r="J111" s="134"/>
      <c r="K111" s="134"/>
      <c r="L111" s="134"/>
    </row>
    <row r="112" spans="1:20" ht="19.5" thickBot="1" x14ac:dyDescent="0.3">
      <c r="B112" s="8"/>
      <c r="C112" s="65"/>
      <c r="D112" s="69"/>
      <c r="E112" s="60"/>
      <c r="F112" s="159"/>
      <c r="G112" s="159"/>
      <c r="I112" s="133">
        <f>SUM(I107:I110)</f>
        <v>180000</v>
      </c>
      <c r="J112" s="133" t="e">
        <f>SUM(J107:J110)</f>
        <v>#DIV/0!</v>
      </c>
      <c r="K112" s="133">
        <f>SUM(K107:K110)</f>
        <v>320000</v>
      </c>
      <c r="L112" s="133" t="e">
        <f>SUM(L107:L110)</f>
        <v>#DIV/0!</v>
      </c>
    </row>
    <row r="113" spans="1:20" ht="18.75" x14ac:dyDescent="0.25">
      <c r="A113" s="96" t="s">
        <v>108</v>
      </c>
      <c r="B113" s="68"/>
      <c r="C113" s="68"/>
      <c r="D113" s="68"/>
      <c r="E113" s="68"/>
      <c r="F113" s="159"/>
      <c r="G113" s="159"/>
    </row>
    <row r="114" spans="1:20" ht="15.75" thickBot="1" x14ac:dyDescent="0.3">
      <c r="A114" s="4" t="s">
        <v>109</v>
      </c>
      <c r="B114" s="154">
        <v>1</v>
      </c>
      <c r="C114" s="70">
        <f>B114*15</f>
        <v>15</v>
      </c>
      <c r="D114" s="131"/>
      <c r="E114" s="70">
        <f>D114*15</f>
        <v>0</v>
      </c>
      <c r="F114" s="159"/>
      <c r="G114" s="159"/>
      <c r="I114" s="102"/>
      <c r="J114" s="102"/>
      <c r="K114" s="102"/>
      <c r="L114" s="102"/>
    </row>
    <row r="115" spans="1:20" ht="19.5" thickBot="1" x14ac:dyDescent="0.3">
      <c r="A115" s="4" t="s">
        <v>110</v>
      </c>
      <c r="B115" s="154">
        <v>0</v>
      </c>
      <c r="C115" s="70">
        <f>B115*5</f>
        <v>0</v>
      </c>
      <c r="D115" s="131"/>
      <c r="E115" s="70">
        <f>D115*5</f>
        <v>0</v>
      </c>
      <c r="F115" s="159"/>
      <c r="G115" s="159"/>
      <c r="I115" s="133">
        <f>C120</f>
        <v>174221.125</v>
      </c>
      <c r="J115" s="133" t="e">
        <f>E120</f>
        <v>#DIV/0!</v>
      </c>
      <c r="K115" s="133">
        <f>C121</f>
        <v>307609.173828125</v>
      </c>
      <c r="L115" s="133" t="e">
        <f>E121</f>
        <v>#DIV/0!</v>
      </c>
    </row>
    <row r="116" spans="1:20" x14ac:dyDescent="0.25">
      <c r="A116" s="4" t="s">
        <v>111</v>
      </c>
      <c r="B116" s="154">
        <v>1</v>
      </c>
      <c r="C116" s="70">
        <f>B116*2</f>
        <v>2</v>
      </c>
      <c r="D116" s="131"/>
      <c r="E116" s="70">
        <f>D116*2</f>
        <v>0</v>
      </c>
      <c r="F116" s="159"/>
      <c r="G116" s="159"/>
      <c r="I116" s="134"/>
      <c r="J116" s="134"/>
      <c r="K116" s="134"/>
      <c r="L116" s="134"/>
    </row>
    <row r="117" spans="1:20" ht="18" thickBot="1" x14ac:dyDescent="0.3">
      <c r="A117" s="4" t="s">
        <v>112</v>
      </c>
      <c r="B117" s="154">
        <v>1</v>
      </c>
      <c r="C117" s="70">
        <f>B117*5</f>
        <v>5</v>
      </c>
      <c r="D117" s="131"/>
      <c r="E117" s="70">
        <f>D117*5</f>
        <v>0</v>
      </c>
      <c r="F117" s="159"/>
      <c r="G117" s="159"/>
      <c r="I117" s="135">
        <f>ROUND(I115,-3)</f>
        <v>174000</v>
      </c>
      <c r="J117" s="135" t="e">
        <f>ROUND(J115,-3)</f>
        <v>#DIV/0!</v>
      </c>
      <c r="K117" s="135">
        <f>ROUND(K115,-3)</f>
        <v>308000</v>
      </c>
      <c r="L117" s="135" t="e">
        <f>ROUND(L115,-3)</f>
        <v>#DIV/0!</v>
      </c>
    </row>
    <row r="118" spans="1:20" ht="15.75" hidden="1" customHeight="1" x14ac:dyDescent="0.25">
      <c r="A118" s="71" t="s">
        <v>25</v>
      </c>
      <c r="B118" s="72"/>
      <c r="C118" s="73">
        <f>(SUM(C114:C117))*0.005</f>
        <v>0.11</v>
      </c>
      <c r="D118" s="74"/>
      <c r="E118" s="75">
        <f>(SUM(E114:E117))*0.005</f>
        <v>0</v>
      </c>
      <c r="F118" s="159"/>
      <c r="G118" s="159"/>
      <c r="I118" s="135">
        <f>ROUND(I115,-4)</f>
        <v>170000</v>
      </c>
      <c r="J118" s="135" t="e">
        <f>ROUND(J115,-4)</f>
        <v>#DIV/0!</v>
      </c>
      <c r="K118" s="135">
        <f>ROUND(K115,-4)</f>
        <v>310000</v>
      </c>
      <c r="L118" s="135" t="e">
        <f>ROUND(L115,-4)</f>
        <v>#DIV/0!</v>
      </c>
    </row>
    <row r="119" spans="1:20" ht="15.75" hidden="1" customHeight="1" thickBot="1" x14ac:dyDescent="0.3">
      <c r="A119" s="5" t="s">
        <v>24</v>
      </c>
      <c r="B119" s="8"/>
      <c r="C119" s="76">
        <f>$C$28</f>
        <v>87000</v>
      </c>
      <c r="D119" s="77"/>
      <c r="E119" s="78">
        <f>$E$28</f>
        <v>0</v>
      </c>
      <c r="F119" s="159"/>
      <c r="G119" s="159"/>
      <c r="I119" s="135">
        <f>ROUND(I115,-5)</f>
        <v>200000</v>
      </c>
      <c r="J119" s="135" t="e">
        <f>ROUND(J115,-5)</f>
        <v>#DIV/0!</v>
      </c>
      <c r="K119" s="135">
        <f>ROUND(K115,-5)</f>
        <v>300000</v>
      </c>
      <c r="L119" s="135" t="e">
        <f>ROUND(L115,-5)</f>
        <v>#DIV/0!</v>
      </c>
    </row>
    <row r="120" spans="1:20" ht="18" thickBot="1" x14ac:dyDescent="0.3">
      <c r="A120" s="37" t="s">
        <v>90</v>
      </c>
      <c r="B120" s="111">
        <f>I127</f>
        <v>170000</v>
      </c>
      <c r="C120" s="112">
        <f>($C$27+1+C118)*$C$28</f>
        <v>174221.125</v>
      </c>
      <c r="D120" s="113" t="e">
        <f>J127</f>
        <v>#DIV/0!</v>
      </c>
      <c r="E120" s="148" t="e">
        <f>($E$27+1+E118)*$E$28</f>
        <v>#DIV/0!</v>
      </c>
      <c r="F120" s="159"/>
      <c r="G120" s="159"/>
      <c r="I120" s="135">
        <f>ROUND(I115,-6)</f>
        <v>0</v>
      </c>
      <c r="J120" s="135" t="e">
        <f>ROUND(J115,-6)</f>
        <v>#DIV/0!</v>
      </c>
      <c r="K120" s="135">
        <f>ROUND(K115,-6)</f>
        <v>0</v>
      </c>
      <c r="L120" s="135" t="e">
        <f>ROUND(L115,-6)</f>
        <v>#DIV/0!</v>
      </c>
    </row>
    <row r="121" spans="1:20" ht="15.75" thickBot="1" x14ac:dyDescent="0.3">
      <c r="A121" s="144" t="s">
        <v>28</v>
      </c>
      <c r="B121" s="145">
        <f>K127</f>
        <v>310000</v>
      </c>
      <c r="C121" s="152">
        <f>(($B$11-$B$10)/$B$11*C120)+C120</f>
        <v>307609.173828125</v>
      </c>
      <c r="D121" s="147" t="e">
        <f>L127</f>
        <v>#DIV/0!</v>
      </c>
      <c r="E121" s="153" t="e">
        <f>(($D$11-$D$10)/$D$11*E120)+E120</f>
        <v>#DIV/0!</v>
      </c>
      <c r="F121" s="159"/>
      <c r="G121" s="159"/>
      <c r="I121" s="134"/>
      <c r="J121" s="134"/>
      <c r="K121" s="134"/>
      <c r="L121" s="134"/>
    </row>
    <row r="122" spans="1:20" s="12" customFormat="1" ht="17.25" x14ac:dyDescent="0.25">
      <c r="A122" s="11" t="s">
        <v>91</v>
      </c>
      <c r="B122" s="114"/>
      <c r="C122" s="79" t="b">
        <f>IF($B$5&gt;65,"YES")</f>
        <v>0</v>
      </c>
      <c r="D122" s="115" t="b">
        <f>E122</f>
        <v>0</v>
      </c>
      <c r="E122" s="80" t="b">
        <f>IF($D$5&gt;65,"YES")</f>
        <v>0</v>
      </c>
      <c r="F122" s="159"/>
      <c r="G122" s="159"/>
      <c r="H122" s="99"/>
      <c r="I122" s="136">
        <f>IF(AND($I115&gt;9999,$I115&lt;100000),I118,0)</f>
        <v>0</v>
      </c>
      <c r="J122" s="136" t="e">
        <f>IF(AND($J115&gt;9999,$J115&lt;100000),J118,0)</f>
        <v>#DIV/0!</v>
      </c>
      <c r="K122" s="136">
        <f>IF(AND($K115&gt;9999,$K115&lt;100000),K118,0)</f>
        <v>0</v>
      </c>
      <c r="L122" s="136" t="e">
        <f>IF(AND($L115&gt;9999,$L115&lt;100000),L118,0)</f>
        <v>#DIV/0!</v>
      </c>
      <c r="M122" s="99"/>
      <c r="N122" s="99"/>
      <c r="O122" s="99"/>
      <c r="P122" s="99"/>
      <c r="Q122" s="99"/>
      <c r="R122" s="99"/>
      <c r="S122" s="99"/>
      <c r="T122" s="99"/>
    </row>
    <row r="123" spans="1:20" s="12" customFormat="1" ht="17.25" x14ac:dyDescent="0.25">
      <c r="A123" s="11" t="s">
        <v>92</v>
      </c>
      <c r="B123" s="116"/>
      <c r="C123" s="79" t="b">
        <f>IF($B$6&gt;65,"YES")</f>
        <v>0</v>
      </c>
      <c r="D123" s="115" t="b">
        <f>E123</f>
        <v>0</v>
      </c>
      <c r="E123" s="80" t="b">
        <f>IF($D$6&gt;65,"YES")</f>
        <v>0</v>
      </c>
      <c r="F123" s="159"/>
      <c r="G123" s="159"/>
      <c r="H123" s="99"/>
      <c r="I123" s="136">
        <f>IF(AND($I115&gt;99999,$I115&lt;1000000),I118,0)</f>
        <v>170000</v>
      </c>
      <c r="J123" s="136" t="e">
        <f>IF(AND($J115&gt;99999,$J115&lt;1000000),J118,0)</f>
        <v>#DIV/0!</v>
      </c>
      <c r="K123" s="136">
        <f>IF(AND($K115&gt;99999,$K115&lt;1000000),K118,0)</f>
        <v>310000</v>
      </c>
      <c r="L123" s="136" t="e">
        <f>IF(AND($L115&gt;99999,$L115&lt;1000000),L118,0)</f>
        <v>#DIV/0!</v>
      </c>
      <c r="M123" s="99"/>
      <c r="N123" s="99"/>
      <c r="O123" s="99"/>
      <c r="P123" s="99"/>
      <c r="Q123" s="99"/>
      <c r="R123" s="99"/>
      <c r="S123" s="99"/>
      <c r="T123" s="99"/>
    </row>
    <row r="124" spans="1:20" ht="17.25" x14ac:dyDescent="0.25">
      <c r="A124" s="7" t="s">
        <v>26</v>
      </c>
      <c r="B124" s="117">
        <f>B121/3</f>
        <v>103333.33333333333</v>
      </c>
      <c r="C124" s="118">
        <f>C120/3</f>
        <v>58073.708333333336</v>
      </c>
      <c r="D124" s="119" t="e">
        <f t="shared" ref="D124" si="9">D121/3</f>
        <v>#DIV/0!</v>
      </c>
      <c r="E124" s="81" t="e">
        <f>E120/3</f>
        <v>#DIV/0!</v>
      </c>
      <c r="F124" s="159"/>
      <c r="G124" s="159"/>
      <c r="I124" s="136">
        <f>IF(AND($I115&gt;999999,$I115&lt;10000000),I119,0)</f>
        <v>0</v>
      </c>
      <c r="J124" s="136" t="e">
        <f>IF(AND($J115&gt;999999,$J115&lt;10000000),J119,0)</f>
        <v>#DIV/0!</v>
      </c>
      <c r="K124" s="136">
        <f>IF(AND($K115&gt;999999,$K115&lt;10000000),K119,0)</f>
        <v>0</v>
      </c>
      <c r="L124" s="136" t="e">
        <f>IF(AND($L115&gt;999999,$L115&lt;10000000),L119,0)</f>
        <v>#DIV/0!</v>
      </c>
    </row>
    <row r="125" spans="1:20" ht="17.25" x14ac:dyDescent="0.25">
      <c r="A125" s="7" t="s">
        <v>27</v>
      </c>
      <c r="B125" s="120">
        <f>ROUND(C125,-4)</f>
        <v>40000</v>
      </c>
      <c r="C125" s="118">
        <f>C124*0.7</f>
        <v>40651.595833333333</v>
      </c>
      <c r="D125" s="121" t="e">
        <f>ROUND(E125,-4)</f>
        <v>#DIV/0!</v>
      </c>
      <c r="E125" s="81" t="e">
        <f>E124*0.7</f>
        <v>#DIV/0!</v>
      </c>
      <c r="F125" s="159"/>
      <c r="G125" s="159"/>
      <c r="I125" s="136">
        <f>IF(AND($I115&gt;9999999,$I115&lt;100000000),I120,0)</f>
        <v>0</v>
      </c>
      <c r="J125" s="136" t="e">
        <f>IF(AND($J115&gt;9999999,$J115&lt;100000000),J120,0)</f>
        <v>#DIV/0!</v>
      </c>
      <c r="K125" s="136">
        <f>IF(AND($K115&gt;9999999,$K115&lt;100000000),K120,0)</f>
        <v>0</v>
      </c>
      <c r="L125" s="136" t="e">
        <f>IF(AND($L115&gt;9999999,$L115&lt;100000000),L120,0)</f>
        <v>#DIV/0!</v>
      </c>
    </row>
    <row r="126" spans="1:20" ht="15.75" thickBot="1" x14ac:dyDescent="0.3">
      <c r="A126" s="82" t="s">
        <v>29</v>
      </c>
      <c r="B126" s="122">
        <f>B120/$B$10</f>
        <v>9.0666666666666664</v>
      </c>
      <c r="C126" s="83">
        <f>(C120/$B$10)*0.01</f>
        <v>9.2917933333333327E-2</v>
      </c>
      <c r="D126" s="122" t="e">
        <f>D120/$D$10</f>
        <v>#DIV/0!</v>
      </c>
      <c r="E126" s="84" t="e">
        <f>(E120/$D$10)*0.01</f>
        <v>#DIV/0!</v>
      </c>
      <c r="F126" s="159"/>
      <c r="G126" s="159"/>
      <c r="I126" s="134"/>
      <c r="J126" s="134"/>
      <c r="K126" s="134"/>
      <c r="L126" s="134"/>
    </row>
    <row r="127" spans="1:20" ht="19.5" thickBot="1" x14ac:dyDescent="0.3">
      <c r="B127" s="8"/>
      <c r="C127" s="65"/>
      <c r="D127" s="69"/>
      <c r="E127" s="60"/>
      <c r="F127" s="159"/>
      <c r="G127" s="159"/>
      <c r="I127" s="133">
        <f>SUM(I122:I125)</f>
        <v>170000</v>
      </c>
      <c r="J127" s="133" t="e">
        <f>SUM(J122:J125)</f>
        <v>#DIV/0!</v>
      </c>
      <c r="K127" s="133">
        <f>SUM(K122:K125)</f>
        <v>310000</v>
      </c>
      <c r="L127" s="133" t="e">
        <f>SUM(L122:L125)</f>
        <v>#DIV/0!</v>
      </c>
    </row>
    <row r="128" spans="1:20" ht="18.75" x14ac:dyDescent="0.25">
      <c r="A128" s="96" t="s">
        <v>113</v>
      </c>
      <c r="B128" s="68"/>
      <c r="C128" s="68"/>
      <c r="D128" s="68"/>
      <c r="E128" s="68"/>
      <c r="F128" s="159"/>
      <c r="G128" s="159"/>
    </row>
    <row r="129" spans="1:20" x14ac:dyDescent="0.25">
      <c r="A129" s="4" t="s">
        <v>109</v>
      </c>
      <c r="B129" s="154">
        <v>1</v>
      </c>
      <c r="C129" s="70">
        <f>B129*15</f>
        <v>15</v>
      </c>
      <c r="D129" s="131"/>
      <c r="E129" s="70">
        <f>D129*15</f>
        <v>0</v>
      </c>
      <c r="F129" s="159"/>
      <c r="G129" s="159"/>
    </row>
    <row r="130" spans="1:20" ht="15.75" thickBot="1" x14ac:dyDescent="0.3">
      <c r="A130" s="4" t="s">
        <v>110</v>
      </c>
      <c r="B130" s="154">
        <v>0</v>
      </c>
      <c r="C130" s="70">
        <f>B130*5</f>
        <v>0</v>
      </c>
      <c r="D130" s="131"/>
      <c r="E130" s="70">
        <f>D130*5</f>
        <v>0</v>
      </c>
      <c r="F130" s="159"/>
      <c r="G130" s="159"/>
      <c r="I130" s="102"/>
      <c r="J130" s="102"/>
      <c r="K130" s="102"/>
      <c r="L130" s="102"/>
    </row>
    <row r="131" spans="1:20" ht="19.5" thickBot="1" x14ac:dyDescent="0.3">
      <c r="A131" s="4" t="s">
        <v>111</v>
      </c>
      <c r="B131" s="154">
        <v>1</v>
      </c>
      <c r="C131" s="70">
        <f>B131*2</f>
        <v>2</v>
      </c>
      <c r="D131" s="131"/>
      <c r="E131" s="70">
        <f>D131*2</f>
        <v>0</v>
      </c>
      <c r="F131" s="159"/>
      <c r="G131" s="159"/>
      <c r="I131" s="133">
        <f>C135</f>
        <v>174221.125</v>
      </c>
      <c r="J131" s="133" t="e">
        <f>E135</f>
        <v>#DIV/0!</v>
      </c>
      <c r="K131" s="133">
        <f>C136</f>
        <v>307609.173828125</v>
      </c>
      <c r="L131" s="133" t="e">
        <f>E136</f>
        <v>#DIV/0!</v>
      </c>
    </row>
    <row r="132" spans="1:20" ht="15.75" thickBot="1" x14ac:dyDescent="0.3">
      <c r="A132" s="4" t="s">
        <v>112</v>
      </c>
      <c r="B132" s="154">
        <v>1</v>
      </c>
      <c r="C132" s="70">
        <f>B132*5</f>
        <v>5</v>
      </c>
      <c r="D132" s="131"/>
      <c r="E132" s="70">
        <f>D132*5</f>
        <v>0</v>
      </c>
      <c r="F132" s="159"/>
      <c r="G132" s="159"/>
      <c r="I132" s="134"/>
      <c r="J132" s="134"/>
      <c r="K132" s="134"/>
      <c r="L132" s="134"/>
    </row>
    <row r="133" spans="1:20" ht="15.75" hidden="1" customHeight="1" x14ac:dyDescent="0.25">
      <c r="A133" s="71" t="s">
        <v>25</v>
      </c>
      <c r="B133" s="72"/>
      <c r="C133" s="73">
        <f>(SUM(C129:C132))*0.005</f>
        <v>0.11</v>
      </c>
      <c r="D133" s="74"/>
      <c r="E133" s="75">
        <f>(SUM(E129:E132))*0.005</f>
        <v>0</v>
      </c>
      <c r="F133" s="159"/>
      <c r="G133" s="159"/>
      <c r="I133" s="135">
        <f>ROUND(I131,-3)</f>
        <v>174000</v>
      </c>
      <c r="J133" s="135" t="e">
        <f>ROUND(J131,-3)</f>
        <v>#DIV/0!</v>
      </c>
      <c r="K133" s="135">
        <f>ROUND(K131,-3)</f>
        <v>308000</v>
      </c>
      <c r="L133" s="135" t="e">
        <f>ROUND(L131,-3)</f>
        <v>#DIV/0!</v>
      </c>
    </row>
    <row r="134" spans="1:20" ht="15.75" hidden="1" customHeight="1" thickBot="1" x14ac:dyDescent="0.3">
      <c r="A134" s="5" t="s">
        <v>24</v>
      </c>
      <c r="B134" s="8"/>
      <c r="C134" s="85">
        <f>$C$28</f>
        <v>87000</v>
      </c>
      <c r="D134" s="77"/>
      <c r="E134" s="78">
        <f>$E$28</f>
        <v>0</v>
      </c>
      <c r="F134" s="159"/>
      <c r="G134" s="159"/>
      <c r="I134" s="135">
        <f>ROUND(I131,-4)</f>
        <v>170000</v>
      </c>
      <c r="J134" s="135" t="e">
        <f>ROUND(J131,-4)</f>
        <v>#DIV/0!</v>
      </c>
      <c r="K134" s="135">
        <f>ROUND(K131,-4)</f>
        <v>310000</v>
      </c>
      <c r="L134" s="135" t="e">
        <f>ROUND(L131,-4)</f>
        <v>#DIV/0!</v>
      </c>
    </row>
    <row r="135" spans="1:20" ht="18" thickBot="1" x14ac:dyDescent="0.3">
      <c r="A135" s="37" t="s">
        <v>90</v>
      </c>
      <c r="B135" s="111">
        <f>I143</f>
        <v>170000</v>
      </c>
      <c r="C135" s="112">
        <f>($C$27+1+C133)*$C$28</f>
        <v>174221.125</v>
      </c>
      <c r="D135" s="113" t="e">
        <f>J143</f>
        <v>#DIV/0!</v>
      </c>
      <c r="E135" s="148" t="e">
        <f>($E$27+1+E133)*$E$28</f>
        <v>#DIV/0!</v>
      </c>
      <c r="F135" s="159"/>
      <c r="G135" s="159"/>
      <c r="I135" s="135">
        <f>ROUND(I131,-5)</f>
        <v>200000</v>
      </c>
      <c r="J135" s="135" t="e">
        <f>ROUND(J131,-5)</f>
        <v>#DIV/0!</v>
      </c>
      <c r="K135" s="135">
        <f>ROUND(K131,-5)</f>
        <v>300000</v>
      </c>
      <c r="L135" s="135" t="e">
        <f>ROUND(L131,-5)</f>
        <v>#DIV/0!</v>
      </c>
    </row>
    <row r="136" spans="1:20" ht="18" thickBot="1" x14ac:dyDescent="0.3">
      <c r="A136" s="144" t="s">
        <v>28</v>
      </c>
      <c r="B136" s="145">
        <f>K143</f>
        <v>310000</v>
      </c>
      <c r="C136" s="152">
        <f>(($B$11-$B$10)/$B$11*C135)+C135</f>
        <v>307609.173828125</v>
      </c>
      <c r="D136" s="147" t="e">
        <f>L143</f>
        <v>#DIV/0!</v>
      </c>
      <c r="E136" s="153" t="e">
        <f>(($D$11-$D$10)/$D$11*E135)+E135</f>
        <v>#DIV/0!</v>
      </c>
      <c r="F136" s="159"/>
      <c r="G136" s="159"/>
      <c r="I136" s="135">
        <f>ROUND(I131,-6)</f>
        <v>0</v>
      </c>
      <c r="J136" s="135" t="e">
        <f>ROUND(J131,-6)</f>
        <v>#DIV/0!</v>
      </c>
      <c r="K136" s="135">
        <f>ROUND(K131,-6)</f>
        <v>0</v>
      </c>
      <c r="L136" s="135" t="e">
        <f>ROUND(L131,-6)</f>
        <v>#DIV/0!</v>
      </c>
    </row>
    <row r="137" spans="1:20" s="12" customFormat="1" x14ac:dyDescent="0.25">
      <c r="A137" s="11" t="s">
        <v>91</v>
      </c>
      <c r="B137" s="114"/>
      <c r="C137" s="79" t="b">
        <f>IF($B$5&gt;65,"YES")</f>
        <v>0</v>
      </c>
      <c r="D137" s="115" t="b">
        <f>E137</f>
        <v>0</v>
      </c>
      <c r="E137" s="80" t="b">
        <f>IF($D$5&gt;65,"YES")</f>
        <v>0</v>
      </c>
      <c r="F137" s="159"/>
      <c r="G137" s="159"/>
      <c r="H137" s="99"/>
      <c r="I137" s="134"/>
      <c r="J137" s="134"/>
      <c r="K137" s="134"/>
      <c r="L137" s="134"/>
      <c r="M137" s="99"/>
      <c r="N137" s="99"/>
      <c r="O137" s="99"/>
      <c r="P137" s="99"/>
      <c r="Q137" s="99"/>
      <c r="R137" s="99"/>
      <c r="S137" s="99"/>
      <c r="T137" s="99"/>
    </row>
    <row r="138" spans="1:20" s="12" customFormat="1" ht="17.25" x14ac:dyDescent="0.25">
      <c r="A138" s="11" t="s">
        <v>92</v>
      </c>
      <c r="B138" s="116"/>
      <c r="C138" s="79" t="b">
        <f>IF($B$6&gt;65,"YES")</f>
        <v>0</v>
      </c>
      <c r="D138" s="115" t="b">
        <f>E138</f>
        <v>0</v>
      </c>
      <c r="E138" s="80" t="b">
        <f>IF($D$6&gt;65,"YES")</f>
        <v>0</v>
      </c>
      <c r="F138" s="159"/>
      <c r="G138" s="159"/>
      <c r="H138" s="99"/>
      <c r="I138" s="136">
        <f>IF(AND($I131&gt;9999,$I131&lt;100000),I134,0)</f>
        <v>0</v>
      </c>
      <c r="J138" s="136" t="e">
        <f>IF(AND($J131&gt;9999,$J131&lt;100000),J134,0)</f>
        <v>#DIV/0!</v>
      </c>
      <c r="K138" s="136">
        <f>IF(AND($K131&gt;9999,$K131&lt;100000),K134,0)</f>
        <v>0</v>
      </c>
      <c r="L138" s="136" t="e">
        <f>IF(AND($L131&gt;9999,$L131&lt;100000),L134,0)</f>
        <v>#DIV/0!</v>
      </c>
      <c r="M138" s="99"/>
      <c r="N138" s="99"/>
      <c r="O138" s="99"/>
      <c r="P138" s="99"/>
      <c r="Q138" s="99"/>
      <c r="R138" s="99"/>
      <c r="S138" s="99"/>
      <c r="T138" s="99"/>
    </row>
    <row r="139" spans="1:20" ht="17.25" x14ac:dyDescent="0.25">
      <c r="A139" s="7" t="s">
        <v>26</v>
      </c>
      <c r="B139" s="117">
        <f>B136/3</f>
        <v>103333.33333333333</v>
      </c>
      <c r="C139" s="118">
        <f>C135/3</f>
        <v>58073.708333333336</v>
      </c>
      <c r="D139" s="119" t="e">
        <f t="shared" ref="D139" si="10">D136/3</f>
        <v>#DIV/0!</v>
      </c>
      <c r="E139" s="81" t="e">
        <f>E135/3</f>
        <v>#DIV/0!</v>
      </c>
      <c r="F139" s="159"/>
      <c r="G139" s="159"/>
      <c r="I139" s="136">
        <f>IF(AND($I131&gt;99999,$I131&lt;1000000),I134,0)</f>
        <v>170000</v>
      </c>
      <c r="J139" s="136" t="e">
        <f>IF(AND($J131&gt;99999,$J131&lt;1000000),J134,0)</f>
        <v>#DIV/0!</v>
      </c>
      <c r="K139" s="136">
        <f>IF(AND($K131&gt;99999,$K131&lt;1000000),K134,0)</f>
        <v>310000</v>
      </c>
      <c r="L139" s="136" t="e">
        <f>IF(AND($L131&gt;99999,$L131&lt;1000000),L134,0)</f>
        <v>#DIV/0!</v>
      </c>
    </row>
    <row r="140" spans="1:20" ht="17.25" x14ac:dyDescent="0.25">
      <c r="A140" s="7" t="s">
        <v>27</v>
      </c>
      <c r="B140" s="120">
        <f>ROUND(C140,-4)</f>
        <v>40000</v>
      </c>
      <c r="C140" s="118">
        <f>C139*0.7</f>
        <v>40651.595833333333</v>
      </c>
      <c r="D140" s="121" t="e">
        <f>ROUND(E140,-4)</f>
        <v>#DIV/0!</v>
      </c>
      <c r="E140" s="81" t="e">
        <f>E139*0.7</f>
        <v>#DIV/0!</v>
      </c>
      <c r="F140" s="159"/>
      <c r="G140" s="159"/>
      <c r="I140" s="136">
        <f>IF(AND($I131&gt;999999,$I131&lt;10000000),I135,0)</f>
        <v>0</v>
      </c>
      <c r="J140" s="136" t="e">
        <f>IF(AND($J131&gt;999999,$J131&lt;10000000),J135,0)</f>
        <v>#DIV/0!</v>
      </c>
      <c r="K140" s="136">
        <f>IF(AND($K131&gt;999999,$K131&lt;10000000),K135,0)</f>
        <v>0</v>
      </c>
      <c r="L140" s="136" t="e">
        <f>IF(AND($L131&gt;999999,$L131&lt;10000000),L135,0)</f>
        <v>#DIV/0!</v>
      </c>
    </row>
    <row r="141" spans="1:20" ht="18" thickBot="1" x14ac:dyDescent="0.3">
      <c r="A141" s="82" t="s">
        <v>29</v>
      </c>
      <c r="B141" s="122">
        <f>B135/$B$10</f>
        <v>9.0666666666666664</v>
      </c>
      <c r="C141" s="83">
        <f>(C135/$B$10)*0.01</f>
        <v>9.2917933333333327E-2</v>
      </c>
      <c r="D141" s="122" t="e">
        <f>D135/$D$10</f>
        <v>#DIV/0!</v>
      </c>
      <c r="E141" s="84" t="e">
        <f>(E135/$D$10)*0.01</f>
        <v>#DIV/0!</v>
      </c>
      <c r="F141" s="159"/>
      <c r="G141" s="159"/>
      <c r="I141" s="136">
        <f>IF(AND($I131&gt;9999999,$I131&lt;100000000),I136,0)</f>
        <v>0</v>
      </c>
      <c r="J141" s="136" t="e">
        <f>IF(AND($J131&gt;9999999,$J131&lt;100000000),J136,0)</f>
        <v>#DIV/0!</v>
      </c>
      <c r="K141" s="136">
        <f>IF(AND($K131&gt;9999999,$K131&lt;100000000),K136,0)</f>
        <v>0</v>
      </c>
      <c r="L141" s="136" t="e">
        <f>IF(AND($L131&gt;9999999,$L131&lt;100000000),L136,0)</f>
        <v>#DIV/0!</v>
      </c>
    </row>
    <row r="142" spans="1:20" ht="15.75" thickBot="1" x14ac:dyDescent="0.3">
      <c r="B142" s="8"/>
      <c r="C142" s="65"/>
      <c r="D142" s="69"/>
      <c r="E142" s="60"/>
      <c r="F142" s="159"/>
      <c r="G142" s="159"/>
      <c r="I142" s="134"/>
      <c r="J142" s="134"/>
      <c r="K142" s="134"/>
      <c r="L142" s="134"/>
    </row>
    <row r="143" spans="1:20" ht="19.5" thickBot="1" x14ac:dyDescent="0.3">
      <c r="A143" s="96" t="s">
        <v>114</v>
      </c>
      <c r="B143" s="68"/>
      <c r="C143" s="68"/>
      <c r="D143" s="68"/>
      <c r="E143" s="68"/>
      <c r="F143" s="159"/>
      <c r="G143" s="159"/>
      <c r="I143" s="133">
        <f>SUM(I138:I141)</f>
        <v>170000</v>
      </c>
      <c r="J143" s="133" t="e">
        <f>SUM(J138:J141)</f>
        <v>#DIV/0!</v>
      </c>
      <c r="K143" s="133">
        <f>SUM(K138:K141)</f>
        <v>310000</v>
      </c>
      <c r="L143" s="133" t="e">
        <f>SUM(L138:L141)</f>
        <v>#DIV/0!</v>
      </c>
    </row>
    <row r="144" spans="1:20" x14ac:dyDescent="0.25">
      <c r="A144" s="4" t="s">
        <v>115</v>
      </c>
      <c r="B144" s="154">
        <v>1</v>
      </c>
      <c r="C144" s="70">
        <f>B144*10</f>
        <v>10</v>
      </c>
      <c r="D144" s="131"/>
      <c r="E144" s="70">
        <f>D144*10</f>
        <v>0</v>
      </c>
      <c r="F144" s="159"/>
      <c r="G144" s="159"/>
    </row>
    <row r="145" spans="1:20" ht="15.75" thickBot="1" x14ac:dyDescent="0.3">
      <c r="A145" s="4" t="s">
        <v>116</v>
      </c>
      <c r="B145" s="154">
        <v>1</v>
      </c>
      <c r="C145" s="70">
        <f>B145*20</f>
        <v>20</v>
      </c>
      <c r="D145" s="131"/>
      <c r="E145" s="70">
        <f>D145*20</f>
        <v>0</v>
      </c>
      <c r="F145" s="159"/>
      <c r="G145" s="159"/>
      <c r="I145" s="139"/>
      <c r="J145" s="139"/>
      <c r="K145" s="139"/>
      <c r="L145" s="139"/>
    </row>
    <row r="146" spans="1:20" ht="15.75" hidden="1" customHeight="1" thickBot="1" x14ac:dyDescent="0.3">
      <c r="A146" s="71" t="s">
        <v>25</v>
      </c>
      <c r="B146" s="72"/>
      <c r="C146" s="73">
        <f>(SUM(C143:C145))*0.005</f>
        <v>0.15</v>
      </c>
      <c r="D146" s="74"/>
      <c r="E146" s="75">
        <f>(SUM(E142:E145))*0.005</f>
        <v>0</v>
      </c>
      <c r="F146" s="159"/>
      <c r="G146" s="159"/>
      <c r="I146" s="133">
        <f>C148</f>
        <v>177701.125</v>
      </c>
      <c r="J146" s="133" t="e">
        <f>E148</f>
        <v>#DIV/0!</v>
      </c>
      <c r="K146" s="133">
        <f>C149</f>
        <v>313753.548828125</v>
      </c>
      <c r="L146" s="133" t="e">
        <f>E149</f>
        <v>#DIV/0!</v>
      </c>
    </row>
    <row r="147" spans="1:20" ht="15.75" hidden="1" customHeight="1" thickBot="1" x14ac:dyDescent="0.3">
      <c r="A147" s="5" t="s">
        <v>24</v>
      </c>
      <c r="B147" s="8"/>
      <c r="C147" s="85">
        <f>$C$28</f>
        <v>87000</v>
      </c>
      <c r="D147" s="77"/>
      <c r="E147" s="78">
        <f>$E$28</f>
        <v>0</v>
      </c>
      <c r="F147" s="159"/>
      <c r="G147" s="159"/>
      <c r="I147" s="134"/>
      <c r="J147" s="134"/>
      <c r="K147" s="134"/>
      <c r="L147" s="134"/>
    </row>
    <row r="148" spans="1:20" ht="18" thickBot="1" x14ac:dyDescent="0.3">
      <c r="A148" s="37" t="s">
        <v>90</v>
      </c>
      <c r="B148" s="111">
        <f>I158</f>
        <v>180000</v>
      </c>
      <c r="C148" s="112">
        <f>($C$27+1+C146)*$C$28</f>
        <v>177701.125</v>
      </c>
      <c r="D148" s="113" t="e">
        <f>J158</f>
        <v>#DIV/0!</v>
      </c>
      <c r="E148" s="148" t="e">
        <f>($E$27+1+E146)*$E$28</f>
        <v>#DIV/0!</v>
      </c>
      <c r="F148" s="159"/>
      <c r="G148" s="159"/>
      <c r="I148" s="135">
        <f>ROUND(I146,-3)</f>
        <v>178000</v>
      </c>
      <c r="J148" s="135" t="e">
        <f>ROUND(J146,-3)</f>
        <v>#DIV/0!</v>
      </c>
      <c r="K148" s="135">
        <f>ROUND(K146,-3)</f>
        <v>314000</v>
      </c>
      <c r="L148" s="135" t="e">
        <f>ROUND(L146,-3)</f>
        <v>#DIV/0!</v>
      </c>
    </row>
    <row r="149" spans="1:20" ht="18" thickBot="1" x14ac:dyDescent="0.3">
      <c r="A149" s="144" t="s">
        <v>28</v>
      </c>
      <c r="B149" s="145">
        <f>K158</f>
        <v>310000</v>
      </c>
      <c r="C149" s="152">
        <f>(($B$11-$B$10)/$B$11*C148)+C148</f>
        <v>313753.548828125</v>
      </c>
      <c r="D149" s="147" t="e">
        <f>L158</f>
        <v>#DIV/0!</v>
      </c>
      <c r="E149" s="153" t="e">
        <f>(($D$11-$D$10)/$D$11*E148)+E148</f>
        <v>#DIV/0!</v>
      </c>
      <c r="F149" s="159"/>
      <c r="G149" s="159"/>
      <c r="I149" s="135">
        <f>ROUND(I146,-4)</f>
        <v>180000</v>
      </c>
      <c r="J149" s="135" t="e">
        <f>ROUND(J146,-4)</f>
        <v>#DIV/0!</v>
      </c>
      <c r="K149" s="135">
        <f>ROUND(K146,-4)</f>
        <v>310000</v>
      </c>
      <c r="L149" s="135" t="e">
        <f>ROUND(L146,-4)</f>
        <v>#DIV/0!</v>
      </c>
    </row>
    <row r="150" spans="1:20" s="12" customFormat="1" ht="17.25" x14ac:dyDescent="0.25">
      <c r="A150" s="11" t="s">
        <v>91</v>
      </c>
      <c r="B150" s="114"/>
      <c r="C150" s="79" t="b">
        <f>IF($B$5&gt;65,"YES")</f>
        <v>0</v>
      </c>
      <c r="D150" s="115" t="b">
        <f>E150</f>
        <v>0</v>
      </c>
      <c r="E150" s="80" t="b">
        <f>IF($D$5&gt;65,"YES")</f>
        <v>0</v>
      </c>
      <c r="F150" s="159"/>
      <c r="G150" s="159"/>
      <c r="H150" s="99"/>
      <c r="I150" s="135">
        <f>ROUND(I146,-5)</f>
        <v>200000</v>
      </c>
      <c r="J150" s="135" t="e">
        <f>ROUND(J146,-5)</f>
        <v>#DIV/0!</v>
      </c>
      <c r="K150" s="135">
        <f>ROUND(K146,-5)</f>
        <v>300000</v>
      </c>
      <c r="L150" s="135" t="e">
        <f>ROUND(L146,-5)</f>
        <v>#DIV/0!</v>
      </c>
      <c r="M150" s="99"/>
      <c r="N150" s="99"/>
      <c r="O150" s="99"/>
      <c r="P150" s="99"/>
      <c r="Q150" s="99"/>
      <c r="R150" s="99"/>
      <c r="S150" s="99"/>
      <c r="T150" s="99"/>
    </row>
    <row r="151" spans="1:20" s="12" customFormat="1" ht="17.25" x14ac:dyDescent="0.25">
      <c r="A151" s="11" t="s">
        <v>92</v>
      </c>
      <c r="B151" s="116"/>
      <c r="C151" s="79" t="b">
        <f>IF($B$6&gt;65,"YES")</f>
        <v>0</v>
      </c>
      <c r="D151" s="115" t="b">
        <f>E151</f>
        <v>0</v>
      </c>
      <c r="E151" s="80" t="b">
        <f>IF($D$6&gt;65,"YES")</f>
        <v>0</v>
      </c>
      <c r="F151" s="159"/>
      <c r="G151" s="159"/>
      <c r="H151" s="99"/>
      <c r="I151" s="135">
        <f>ROUND(I146,-6)</f>
        <v>0</v>
      </c>
      <c r="J151" s="135" t="e">
        <f>ROUND(J146,-6)</f>
        <v>#DIV/0!</v>
      </c>
      <c r="K151" s="135">
        <f>ROUND(K146,-6)</f>
        <v>0</v>
      </c>
      <c r="L151" s="135" t="e">
        <f>ROUND(L146,-6)</f>
        <v>#DIV/0!</v>
      </c>
      <c r="M151" s="99"/>
      <c r="N151" s="99"/>
      <c r="O151" s="99"/>
      <c r="P151" s="99"/>
      <c r="Q151" s="99"/>
      <c r="R151" s="99"/>
      <c r="S151" s="99"/>
      <c r="T151" s="99"/>
    </row>
    <row r="152" spans="1:20" x14ac:dyDescent="0.25">
      <c r="A152" s="7" t="s">
        <v>26</v>
      </c>
      <c r="B152" s="117">
        <f>B149/3</f>
        <v>103333.33333333333</v>
      </c>
      <c r="C152" s="118">
        <f>C148/3</f>
        <v>59233.708333333336</v>
      </c>
      <c r="D152" s="119" t="e">
        <f t="shared" ref="D152" si="11">D149/3</f>
        <v>#DIV/0!</v>
      </c>
      <c r="E152" s="81" t="e">
        <f>E148/3</f>
        <v>#DIV/0!</v>
      </c>
      <c r="F152" s="159"/>
      <c r="G152" s="159"/>
      <c r="I152" s="134"/>
      <c r="J152" s="134"/>
      <c r="K152" s="134"/>
      <c r="L152" s="134"/>
    </row>
    <row r="153" spans="1:20" ht="17.25" x14ac:dyDescent="0.25">
      <c r="A153" s="7" t="s">
        <v>27</v>
      </c>
      <c r="B153" s="120">
        <f>ROUND(C153,-4)</f>
        <v>40000</v>
      </c>
      <c r="C153" s="118">
        <f>C152*0.7</f>
        <v>41463.595833333333</v>
      </c>
      <c r="D153" s="121" t="e">
        <f>ROUND(E153,-4)</f>
        <v>#DIV/0!</v>
      </c>
      <c r="E153" s="81" t="e">
        <f>E152*0.7</f>
        <v>#DIV/0!</v>
      </c>
      <c r="F153" s="159"/>
      <c r="G153" s="159"/>
      <c r="I153" s="136">
        <f>IF(AND($I146&gt;9999,$I146&lt;100000),I149,0)</f>
        <v>0</v>
      </c>
      <c r="J153" s="136" t="e">
        <f>IF(AND($J146&gt;9999,$J146&lt;100000),J149,0)</f>
        <v>#DIV/0!</v>
      </c>
      <c r="K153" s="136">
        <f>IF(AND($K146&gt;9999,$K146&lt;100000),K149,0)</f>
        <v>0</v>
      </c>
      <c r="L153" s="136" t="e">
        <f>IF(AND($L146&gt;9999,$L146&lt;100000),L149,0)</f>
        <v>#DIV/0!</v>
      </c>
    </row>
    <row r="154" spans="1:20" ht="18" thickBot="1" x14ac:dyDescent="0.3">
      <c r="A154" s="82" t="s">
        <v>29</v>
      </c>
      <c r="B154" s="122">
        <f>B148/$B$10</f>
        <v>9.6</v>
      </c>
      <c r="C154" s="83">
        <f>(C148/$B$10)*0.01</f>
        <v>9.4773933333333338E-2</v>
      </c>
      <c r="D154" s="122" t="e">
        <f>D148/$D$10</f>
        <v>#DIV/0!</v>
      </c>
      <c r="E154" s="84" t="e">
        <f>(E148/$D$10)*0.01</f>
        <v>#DIV/0!</v>
      </c>
      <c r="F154" s="159"/>
      <c r="G154" s="159"/>
      <c r="I154" s="136">
        <f>IF(AND($I146&gt;99999,$I146&lt;1000000),I149,0)</f>
        <v>180000</v>
      </c>
      <c r="J154" s="136" t="e">
        <f>IF(AND($J146&gt;99999,$J146&lt;1000000),J149,0)</f>
        <v>#DIV/0!</v>
      </c>
      <c r="K154" s="136">
        <f>IF(AND($K146&gt;99999,$K146&lt;1000000),K149,0)</f>
        <v>310000</v>
      </c>
      <c r="L154" s="136" t="e">
        <f>IF(AND($L146&gt;99999,$L146&lt;1000000),L149,0)</f>
        <v>#DIV/0!</v>
      </c>
    </row>
    <row r="155" spans="1:20" ht="17.25" x14ac:dyDescent="0.25">
      <c r="B155" s="8"/>
      <c r="C155" s="65"/>
      <c r="D155" s="69"/>
      <c r="E155" s="60"/>
      <c r="F155" s="159"/>
      <c r="G155" s="159"/>
      <c r="I155" s="136">
        <f>IF(AND($I146&gt;999999,$I146&lt;10000000),I150,0)</f>
        <v>0</v>
      </c>
      <c r="J155" s="136" t="e">
        <f>IF(AND($J146&gt;999999,$J146&lt;10000000),J150,0)</f>
        <v>#DIV/0!</v>
      </c>
      <c r="K155" s="136">
        <f>IF(AND($K146&gt;999999,$K146&lt;10000000),K150,0)</f>
        <v>0</v>
      </c>
      <c r="L155" s="136" t="e">
        <f>IF(AND($L146&gt;999999,$L146&lt;10000000),L150,0)</f>
        <v>#DIV/0!</v>
      </c>
    </row>
    <row r="156" spans="1:20" ht="18.75" x14ac:dyDescent="0.25">
      <c r="A156" s="96" t="s">
        <v>117</v>
      </c>
      <c r="B156" s="68"/>
      <c r="C156" s="68"/>
      <c r="D156" s="68"/>
      <c r="E156" s="68"/>
      <c r="F156" s="159"/>
      <c r="G156" s="159"/>
      <c r="I156" s="136">
        <f>IF(AND($I146&gt;9999999,$I146&lt;100000000),I151,0)</f>
        <v>0</v>
      </c>
      <c r="J156" s="136" t="e">
        <f>IF(AND($J146&gt;9999999,$J146&lt;100000000),J151,0)</f>
        <v>#DIV/0!</v>
      </c>
      <c r="K156" s="136">
        <f>IF(AND($K146&gt;9999999,$K146&lt;100000000),K151,0)</f>
        <v>0</v>
      </c>
      <c r="L156" s="136" t="e">
        <f>IF(AND($L146&gt;9999999,$L146&lt;100000000),L151,0)</f>
        <v>#DIV/0!</v>
      </c>
    </row>
    <row r="157" spans="1:20" ht="15.75" thickBot="1" x14ac:dyDescent="0.3">
      <c r="A157" s="4" t="s">
        <v>118</v>
      </c>
      <c r="B157" s="154">
        <v>1</v>
      </c>
      <c r="C157" s="70">
        <f>B157*10</f>
        <v>10</v>
      </c>
      <c r="D157" s="131"/>
      <c r="E157" s="70">
        <f>D157*10</f>
        <v>0</v>
      </c>
      <c r="F157" s="159"/>
      <c r="G157" s="159"/>
      <c r="I157" s="134"/>
      <c r="J157" s="134"/>
      <c r="K157" s="134"/>
      <c r="L157" s="134"/>
    </row>
    <row r="158" spans="1:20" ht="19.5" thickBot="1" x14ac:dyDescent="0.3">
      <c r="A158" s="4" t="s">
        <v>119</v>
      </c>
      <c r="B158" s="154">
        <v>0</v>
      </c>
      <c r="C158" s="70">
        <f t="shared" ref="C158:E158" si="12">B158*10</f>
        <v>0</v>
      </c>
      <c r="D158" s="131"/>
      <c r="E158" s="70">
        <f t="shared" si="12"/>
        <v>0</v>
      </c>
      <c r="F158" s="159"/>
      <c r="G158" s="159"/>
      <c r="I158" s="133">
        <f>SUM(I153:I156)</f>
        <v>180000</v>
      </c>
      <c r="J158" s="133" t="e">
        <f>SUM(J153:J156)</f>
        <v>#DIV/0!</v>
      </c>
      <c r="K158" s="133">
        <f>SUM(K153:K156)</f>
        <v>310000</v>
      </c>
      <c r="L158" s="133" t="e">
        <f>SUM(L153:L156)</f>
        <v>#DIV/0!</v>
      </c>
    </row>
    <row r="159" spans="1:20" ht="15.75" thickBot="1" x14ac:dyDescent="0.3">
      <c r="A159" s="4" t="s">
        <v>120</v>
      </c>
      <c r="B159" s="154">
        <v>1</v>
      </c>
      <c r="C159" s="70">
        <f>B159*15</f>
        <v>15</v>
      </c>
      <c r="D159" s="131"/>
      <c r="E159" s="70">
        <f>D159*15</f>
        <v>0</v>
      </c>
      <c r="F159" s="159"/>
      <c r="G159" s="159"/>
      <c r="I159" s="102"/>
      <c r="J159" s="102"/>
      <c r="K159" s="102"/>
      <c r="L159" s="102"/>
    </row>
    <row r="160" spans="1:20" ht="19.5" thickBot="1" x14ac:dyDescent="0.3">
      <c r="A160" s="4" t="s">
        <v>121</v>
      </c>
      <c r="B160" s="154">
        <v>1</v>
      </c>
      <c r="C160" s="70">
        <f>B160*30</f>
        <v>30</v>
      </c>
      <c r="D160" s="131"/>
      <c r="E160" s="70">
        <f>D160*30</f>
        <v>0</v>
      </c>
      <c r="F160" s="159"/>
      <c r="G160" s="159"/>
      <c r="I160" s="133">
        <f>C163</f>
        <v>188576.125</v>
      </c>
      <c r="J160" s="133" t="e">
        <f>E163</f>
        <v>#DIV/0!</v>
      </c>
      <c r="K160" s="133">
        <f>C164</f>
        <v>332954.720703125</v>
      </c>
      <c r="L160" s="133" t="e">
        <f>E164</f>
        <v>#DIV/0!</v>
      </c>
    </row>
    <row r="161" spans="1:20" ht="15.75" hidden="1" customHeight="1" x14ac:dyDescent="0.25">
      <c r="A161" s="71" t="s">
        <v>25</v>
      </c>
      <c r="B161" s="72"/>
      <c r="C161" s="73">
        <f>(SUM(C157:C160))*0.005</f>
        <v>0.27500000000000002</v>
      </c>
      <c r="D161" s="74"/>
      <c r="E161" s="75">
        <f>(SUM(E157:E160))*0.005</f>
        <v>0</v>
      </c>
      <c r="F161" s="159"/>
      <c r="G161" s="159"/>
      <c r="I161" s="134"/>
      <c r="J161" s="134"/>
      <c r="K161" s="134"/>
      <c r="L161" s="134"/>
    </row>
    <row r="162" spans="1:20" ht="15.75" hidden="1" customHeight="1" thickBot="1" x14ac:dyDescent="0.3">
      <c r="A162" s="5" t="s">
        <v>24</v>
      </c>
      <c r="B162" s="8"/>
      <c r="C162" s="85">
        <f>$C$28</f>
        <v>87000</v>
      </c>
      <c r="D162" s="77"/>
      <c r="E162" s="78">
        <f>$E$28</f>
        <v>0</v>
      </c>
      <c r="F162" s="159"/>
      <c r="G162" s="159"/>
      <c r="I162" s="135">
        <f>ROUND(I160,-3)</f>
        <v>189000</v>
      </c>
      <c r="J162" s="135" t="e">
        <f>ROUND(J160,-3)</f>
        <v>#DIV/0!</v>
      </c>
      <c r="K162" s="135">
        <f>ROUND(K160,-3)</f>
        <v>333000</v>
      </c>
      <c r="L162" s="135" t="e">
        <f>ROUND(L160,-3)</f>
        <v>#DIV/0!</v>
      </c>
    </row>
    <row r="163" spans="1:20" ht="18" thickBot="1" x14ac:dyDescent="0.3">
      <c r="A163" s="37" t="s">
        <v>90</v>
      </c>
      <c r="B163" s="111">
        <f>I172</f>
        <v>190000</v>
      </c>
      <c r="C163" s="112">
        <f>($C$27+1+C161)*$C$28</f>
        <v>188576.125</v>
      </c>
      <c r="D163" s="113" t="e">
        <f>J172</f>
        <v>#DIV/0!</v>
      </c>
      <c r="E163" s="148" t="e">
        <f>($E$27+1+E161)*$E$28</f>
        <v>#DIV/0!</v>
      </c>
      <c r="F163" s="159"/>
      <c r="G163" s="159"/>
      <c r="I163" s="135">
        <f>ROUND(I160,-4)</f>
        <v>190000</v>
      </c>
      <c r="J163" s="135" t="e">
        <f>ROUND(J160,-4)</f>
        <v>#DIV/0!</v>
      </c>
      <c r="K163" s="135">
        <f>ROUND(K160,-4)</f>
        <v>330000</v>
      </c>
      <c r="L163" s="135" t="e">
        <f>ROUND(L160,-4)</f>
        <v>#DIV/0!</v>
      </c>
    </row>
    <row r="164" spans="1:20" ht="18" thickBot="1" x14ac:dyDescent="0.3">
      <c r="A164" s="144" t="s">
        <v>28</v>
      </c>
      <c r="B164" s="145">
        <f>K172</f>
        <v>330000</v>
      </c>
      <c r="C164" s="152">
        <f>(($B$11-$B$10)/$B$11*C163)+C163</f>
        <v>332954.720703125</v>
      </c>
      <c r="D164" s="147" t="e">
        <f>L172</f>
        <v>#DIV/0!</v>
      </c>
      <c r="E164" s="153" t="e">
        <f>(($D$11-$D$10)/$D$11*E163)+E163</f>
        <v>#DIV/0!</v>
      </c>
      <c r="F164" s="159"/>
      <c r="G164" s="159"/>
      <c r="I164" s="135">
        <f>ROUND(I160,-5)</f>
        <v>200000</v>
      </c>
      <c r="J164" s="135" t="e">
        <f>ROUND(J160,-5)</f>
        <v>#DIV/0!</v>
      </c>
      <c r="K164" s="135">
        <f>ROUND(K160,-5)</f>
        <v>300000</v>
      </c>
      <c r="L164" s="135" t="e">
        <f>ROUND(L160,-5)</f>
        <v>#DIV/0!</v>
      </c>
    </row>
    <row r="165" spans="1:20" s="12" customFormat="1" ht="17.25" x14ac:dyDescent="0.25">
      <c r="A165" s="11" t="s">
        <v>91</v>
      </c>
      <c r="B165" s="114"/>
      <c r="C165" s="79" t="b">
        <f>IF($B$5&gt;65,"YES")</f>
        <v>0</v>
      </c>
      <c r="D165" s="115" t="b">
        <f>E165</f>
        <v>0</v>
      </c>
      <c r="E165" s="80" t="b">
        <f>IF($D$5&gt;65,"YES")</f>
        <v>0</v>
      </c>
      <c r="F165" s="159"/>
      <c r="G165" s="159"/>
      <c r="H165" s="99"/>
      <c r="I165" s="135">
        <f>ROUND(I160,-6)</f>
        <v>0</v>
      </c>
      <c r="J165" s="135" t="e">
        <f>ROUND(J160,-6)</f>
        <v>#DIV/0!</v>
      </c>
      <c r="K165" s="135">
        <f>ROUND(K160,-6)</f>
        <v>0</v>
      </c>
      <c r="L165" s="135" t="e">
        <f>ROUND(L160,-6)</f>
        <v>#DIV/0!</v>
      </c>
      <c r="M165" s="99"/>
      <c r="N165" s="99"/>
      <c r="O165" s="99"/>
      <c r="P165" s="99"/>
      <c r="Q165" s="99"/>
      <c r="R165" s="99"/>
      <c r="S165" s="99"/>
      <c r="T165" s="99"/>
    </row>
    <row r="166" spans="1:20" s="12" customFormat="1" x14ac:dyDescent="0.25">
      <c r="A166" s="11" t="s">
        <v>92</v>
      </c>
      <c r="B166" s="116"/>
      <c r="C166" s="79" t="b">
        <f>IF($B$6&gt;65,"YES")</f>
        <v>0</v>
      </c>
      <c r="D166" s="115" t="b">
        <f>E166</f>
        <v>0</v>
      </c>
      <c r="E166" s="80" t="b">
        <f>IF($D$6&gt;65,"YES")</f>
        <v>0</v>
      </c>
      <c r="F166" s="159"/>
      <c r="G166" s="159"/>
      <c r="H166" s="99"/>
      <c r="I166" s="134"/>
      <c r="J166" s="134"/>
      <c r="K166" s="134"/>
      <c r="L166" s="134"/>
      <c r="M166" s="99"/>
      <c r="N166" s="99"/>
      <c r="O166" s="99"/>
      <c r="P166" s="99"/>
      <c r="Q166" s="99"/>
      <c r="R166" s="99"/>
      <c r="S166" s="99"/>
      <c r="T166" s="99"/>
    </row>
    <row r="167" spans="1:20" ht="17.25" x14ac:dyDescent="0.25">
      <c r="A167" s="7" t="s">
        <v>26</v>
      </c>
      <c r="B167" s="117">
        <f>B164/3</f>
        <v>110000</v>
      </c>
      <c r="C167" s="118">
        <f>C163/3</f>
        <v>62858.708333333336</v>
      </c>
      <c r="D167" s="119" t="e">
        <f t="shared" ref="D167" si="13">D164/3</f>
        <v>#DIV/0!</v>
      </c>
      <c r="E167" s="81" t="e">
        <f>E163/3</f>
        <v>#DIV/0!</v>
      </c>
      <c r="F167" s="159"/>
      <c r="G167" s="159"/>
      <c r="I167" s="136">
        <f>IF(AND($I160&gt;9999,$I160&lt;100000),I163,0)</f>
        <v>0</v>
      </c>
      <c r="J167" s="136" t="e">
        <f>IF(AND($J160&gt;9999,$J160&lt;100000),J163,0)</f>
        <v>#DIV/0!</v>
      </c>
      <c r="K167" s="136">
        <f>IF(AND($K160&gt;9999,$K160&lt;100000),K163,0)</f>
        <v>0</v>
      </c>
      <c r="L167" s="136" t="e">
        <f>IF(AND($L160&gt;9999,$L160&lt;100000),L163,0)</f>
        <v>#DIV/0!</v>
      </c>
    </row>
    <row r="168" spans="1:20" ht="17.25" x14ac:dyDescent="0.25">
      <c r="A168" s="7" t="s">
        <v>27</v>
      </c>
      <c r="B168" s="120">
        <f>ROUND(C168,-4)</f>
        <v>40000</v>
      </c>
      <c r="C168" s="118">
        <f>C167*0.7</f>
        <v>44001.095833333333</v>
      </c>
      <c r="D168" s="121" t="e">
        <f>ROUND(E168,-4)</f>
        <v>#DIV/0!</v>
      </c>
      <c r="E168" s="81" t="e">
        <f>E167*0.7</f>
        <v>#DIV/0!</v>
      </c>
      <c r="F168" s="159"/>
      <c r="G168" s="159"/>
      <c r="I168" s="136">
        <f>IF(AND($I160&gt;99999,$I160&lt;1000000),I163,0)</f>
        <v>190000</v>
      </c>
      <c r="J168" s="136" t="e">
        <f>IF(AND($J160&gt;99999,$J160&lt;1000000),J163,0)</f>
        <v>#DIV/0!</v>
      </c>
      <c r="K168" s="136">
        <f>IF(AND($K160&gt;99999,$K160&lt;1000000),K163,0)</f>
        <v>330000</v>
      </c>
      <c r="L168" s="136" t="e">
        <f>IF(AND($L160&gt;99999,$L160&lt;1000000),L163,0)</f>
        <v>#DIV/0!</v>
      </c>
    </row>
    <row r="169" spans="1:20" ht="18" thickBot="1" x14ac:dyDescent="0.3">
      <c r="A169" s="82" t="s">
        <v>29</v>
      </c>
      <c r="B169" s="122">
        <f>B163/$B$10</f>
        <v>10.133333333333333</v>
      </c>
      <c r="C169" s="83">
        <f>(C163/$B$10)*0.01</f>
        <v>0.10057393333333334</v>
      </c>
      <c r="D169" s="122" t="e">
        <f>D163/$D$10</f>
        <v>#DIV/0!</v>
      </c>
      <c r="E169" s="84" t="e">
        <f>(E163/$D$10)*0.01</f>
        <v>#DIV/0!</v>
      </c>
      <c r="F169" s="159"/>
      <c r="G169" s="159"/>
      <c r="I169" s="136">
        <f>IF(AND($I160&gt;999999,$I160&lt;10000000),I164,0)</f>
        <v>0</v>
      </c>
      <c r="J169" s="136" t="e">
        <f>IF(AND($J160&gt;999999,$J160&lt;10000000),J164,0)</f>
        <v>#DIV/0!</v>
      </c>
      <c r="K169" s="136">
        <f>IF(AND($K160&gt;999999,$K160&lt;10000000),K164,0)</f>
        <v>0</v>
      </c>
      <c r="L169" s="136" t="e">
        <f>IF(AND($L160&gt;999999,$L160&lt;10000000),L164,0)</f>
        <v>#DIV/0!</v>
      </c>
    </row>
    <row r="170" spans="1:20" ht="17.25" x14ac:dyDescent="0.25">
      <c r="A170" s="4"/>
      <c r="B170" s="8"/>
      <c r="C170" s="65"/>
      <c r="D170" s="69"/>
      <c r="E170" s="60"/>
      <c r="F170" s="159"/>
      <c r="G170" s="159"/>
      <c r="I170" s="136">
        <f>IF(AND($I160&gt;9999999,$I160&lt;100000000),I165,0)</f>
        <v>0</v>
      </c>
      <c r="J170" s="136" t="e">
        <f>IF(AND($J160&gt;9999999,$J160&lt;100000000),J165,0)</f>
        <v>#DIV/0!</v>
      </c>
      <c r="K170" s="136">
        <f>IF(AND($K160&gt;9999999,$K160&lt;100000000),K165,0)</f>
        <v>0</v>
      </c>
      <c r="L170" s="136" t="e">
        <f>IF(AND($L160&gt;9999999,$L160&lt;100000000),L165,0)</f>
        <v>#DIV/0!</v>
      </c>
    </row>
    <row r="171" spans="1:20" ht="19.5" thickBot="1" x14ac:dyDescent="0.3">
      <c r="A171" s="96" t="s">
        <v>0</v>
      </c>
      <c r="B171" s="68"/>
      <c r="C171" s="68"/>
      <c r="D171" s="68"/>
      <c r="E171" s="68"/>
      <c r="F171" s="159"/>
      <c r="G171" s="159"/>
      <c r="I171" s="134"/>
      <c r="J171" s="134"/>
      <c r="K171" s="134"/>
      <c r="L171" s="134"/>
    </row>
    <row r="172" spans="1:20" ht="19.5" thickBot="1" x14ac:dyDescent="0.3">
      <c r="A172" s="4" t="s">
        <v>14</v>
      </c>
      <c r="B172" s="154">
        <v>1</v>
      </c>
      <c r="C172" s="70">
        <f>B172*20</f>
        <v>20</v>
      </c>
      <c r="D172" s="131"/>
      <c r="E172" s="70">
        <f>D172*20</f>
        <v>0</v>
      </c>
      <c r="F172" s="159"/>
      <c r="G172" s="159"/>
      <c r="I172" s="133">
        <f>SUM(I167:I170)</f>
        <v>190000</v>
      </c>
      <c r="J172" s="133" t="e">
        <f>SUM(J167:J170)</f>
        <v>#DIV/0!</v>
      </c>
      <c r="K172" s="133">
        <f>SUM(K167:K170)</f>
        <v>330000</v>
      </c>
      <c r="L172" s="133" t="e">
        <f>SUM(L167:L170)</f>
        <v>#DIV/0!</v>
      </c>
    </row>
    <row r="173" spans="1:20" ht="15.75" thickBot="1" x14ac:dyDescent="0.3">
      <c r="A173" s="4" t="s">
        <v>15</v>
      </c>
      <c r="B173" s="154">
        <v>0</v>
      </c>
      <c r="C173" s="70">
        <f t="shared" ref="C173:E174" si="14">B173*20</f>
        <v>0</v>
      </c>
      <c r="D173" s="131"/>
      <c r="E173" s="70">
        <f t="shared" si="14"/>
        <v>0</v>
      </c>
      <c r="F173" s="159"/>
      <c r="G173" s="159"/>
      <c r="I173" s="102"/>
      <c r="J173" s="102"/>
      <c r="K173" s="102"/>
      <c r="L173" s="102"/>
    </row>
    <row r="174" spans="1:20" ht="19.5" thickBot="1" x14ac:dyDescent="0.3">
      <c r="A174" s="4" t="s">
        <v>131</v>
      </c>
      <c r="B174" s="154">
        <v>1</v>
      </c>
      <c r="C174" s="70">
        <f t="shared" si="14"/>
        <v>20</v>
      </c>
      <c r="D174" s="131"/>
      <c r="E174" s="70">
        <f t="shared" si="14"/>
        <v>0</v>
      </c>
      <c r="F174" s="159"/>
      <c r="G174" s="159"/>
      <c r="I174" s="133">
        <f>C178</f>
        <v>312551.125</v>
      </c>
      <c r="J174" s="133" t="e">
        <f>E178</f>
        <v>#DIV/0!</v>
      </c>
      <c r="K174" s="133">
        <f>C179</f>
        <v>551848.080078125</v>
      </c>
      <c r="L174" s="133" t="e">
        <f>E179</f>
        <v>#DIV/0!</v>
      </c>
    </row>
    <row r="175" spans="1:20" ht="15.75" thickBot="1" x14ac:dyDescent="0.3">
      <c r="A175" s="4" t="s">
        <v>132</v>
      </c>
      <c r="B175" s="154">
        <v>1</v>
      </c>
      <c r="C175" s="70">
        <f>B175*300</f>
        <v>300</v>
      </c>
      <c r="D175" s="131"/>
      <c r="E175" s="70">
        <f>D175*300</f>
        <v>0</v>
      </c>
      <c r="F175" s="159"/>
      <c r="G175" s="159"/>
      <c r="I175" s="134"/>
      <c r="J175" s="134"/>
      <c r="K175" s="134"/>
      <c r="L175" s="134"/>
    </row>
    <row r="176" spans="1:20" ht="15.75" hidden="1" customHeight="1" x14ac:dyDescent="0.25">
      <c r="A176" s="71" t="s">
        <v>25</v>
      </c>
      <c r="B176" s="72"/>
      <c r="C176" s="73">
        <f>(SUM(C172:C175))*0.005</f>
        <v>1.7</v>
      </c>
      <c r="D176" s="74"/>
      <c r="E176" s="75">
        <f>(SUM(E172:E175))*0.005</f>
        <v>0</v>
      </c>
      <c r="F176" s="159"/>
      <c r="G176" s="159"/>
      <c r="I176" s="135">
        <f>ROUND(I174,-3)</f>
        <v>313000</v>
      </c>
      <c r="J176" s="135" t="e">
        <f>ROUND(J174,-3)</f>
        <v>#DIV/0!</v>
      </c>
      <c r="K176" s="135">
        <f>ROUND(K174,-3)</f>
        <v>552000</v>
      </c>
      <c r="L176" s="135" t="e">
        <f>ROUND(L174,-3)</f>
        <v>#DIV/0!</v>
      </c>
    </row>
    <row r="177" spans="1:20" ht="15.75" hidden="1" customHeight="1" thickBot="1" x14ac:dyDescent="0.3">
      <c r="A177" s="5" t="s">
        <v>24</v>
      </c>
      <c r="B177" s="8"/>
      <c r="C177" s="85">
        <f>$C$28</f>
        <v>87000</v>
      </c>
      <c r="D177" s="77"/>
      <c r="E177" s="78">
        <f>$E$28</f>
        <v>0</v>
      </c>
      <c r="F177" s="159"/>
      <c r="G177" s="159"/>
      <c r="I177" s="135">
        <f>ROUND(I174,-4)</f>
        <v>310000</v>
      </c>
      <c r="J177" s="135" t="e">
        <f>ROUND(J174,-4)</f>
        <v>#DIV/0!</v>
      </c>
      <c r="K177" s="135">
        <f>ROUND(K174,-4)</f>
        <v>550000</v>
      </c>
      <c r="L177" s="135" t="e">
        <f>ROUND(L174,-4)</f>
        <v>#DIV/0!</v>
      </c>
    </row>
    <row r="178" spans="1:20" ht="18" thickBot="1" x14ac:dyDescent="0.3">
      <c r="A178" s="37" t="s">
        <v>90</v>
      </c>
      <c r="B178" s="111">
        <f>I186</f>
        <v>310000</v>
      </c>
      <c r="C178" s="112">
        <f>($C$27+1+C176)*$C$28</f>
        <v>312551.125</v>
      </c>
      <c r="D178" s="113" t="e">
        <f>J186</f>
        <v>#DIV/0!</v>
      </c>
      <c r="E178" s="148" t="e">
        <f>($E$27+1+E176)*$E$28</f>
        <v>#DIV/0!</v>
      </c>
      <c r="F178" s="159"/>
      <c r="G178" s="159"/>
      <c r="I178" s="135">
        <f>ROUND(I174,-5)</f>
        <v>300000</v>
      </c>
      <c r="J178" s="135" t="e">
        <f>ROUND(J174,-5)</f>
        <v>#DIV/0!</v>
      </c>
      <c r="K178" s="135">
        <f>ROUND(K174,-5)</f>
        <v>600000</v>
      </c>
      <c r="L178" s="135" t="e">
        <f>ROUND(L174,-5)</f>
        <v>#DIV/0!</v>
      </c>
    </row>
    <row r="179" spans="1:20" ht="18" thickBot="1" x14ac:dyDescent="0.3">
      <c r="A179" s="144" t="s">
        <v>28</v>
      </c>
      <c r="B179" s="145">
        <f>K186</f>
        <v>550000</v>
      </c>
      <c r="C179" s="152">
        <f>(($B$11-$B$10)/$B$11*C178)+C178</f>
        <v>551848.080078125</v>
      </c>
      <c r="D179" s="147" t="e">
        <f>L186</f>
        <v>#DIV/0!</v>
      </c>
      <c r="E179" s="153" t="e">
        <f>(($D$11-$D$10)/$D$11*E178)+E178</f>
        <v>#DIV/0!</v>
      </c>
      <c r="F179" s="159"/>
      <c r="G179" s="159"/>
      <c r="I179" s="135">
        <f>ROUND(I174,-6)</f>
        <v>0</v>
      </c>
      <c r="J179" s="135" t="e">
        <f>ROUND(J174,-6)</f>
        <v>#DIV/0!</v>
      </c>
      <c r="K179" s="135">
        <f>ROUND(K174,-6)</f>
        <v>1000000</v>
      </c>
      <c r="L179" s="135" t="e">
        <f>ROUND(L174,-6)</f>
        <v>#DIV/0!</v>
      </c>
    </row>
    <row r="180" spans="1:20" s="12" customFormat="1" x14ac:dyDescent="0.25">
      <c r="A180" s="11" t="s">
        <v>91</v>
      </c>
      <c r="B180" s="114"/>
      <c r="C180" s="79" t="b">
        <f>IF($B$5&gt;65,"YES")</f>
        <v>0</v>
      </c>
      <c r="D180" s="115" t="b">
        <f>E180</f>
        <v>0</v>
      </c>
      <c r="E180" s="80" t="b">
        <f>IF($D$5&gt;65,"YES")</f>
        <v>0</v>
      </c>
      <c r="F180" s="159"/>
      <c r="G180" s="159"/>
      <c r="H180" s="99"/>
      <c r="I180" s="134"/>
      <c r="J180" s="134"/>
      <c r="K180" s="134"/>
      <c r="L180" s="134"/>
      <c r="M180" s="99"/>
      <c r="N180" s="99"/>
      <c r="O180" s="99"/>
      <c r="P180" s="99"/>
      <c r="Q180" s="99"/>
      <c r="R180" s="99"/>
      <c r="S180" s="99"/>
      <c r="T180" s="99"/>
    </row>
    <row r="181" spans="1:20" s="12" customFormat="1" ht="17.25" x14ac:dyDescent="0.25">
      <c r="A181" s="11" t="s">
        <v>92</v>
      </c>
      <c r="B181" s="116"/>
      <c r="C181" s="79" t="b">
        <f>IF($B$6&gt;65,"YES")</f>
        <v>0</v>
      </c>
      <c r="D181" s="115" t="b">
        <f>E181</f>
        <v>0</v>
      </c>
      <c r="E181" s="80" t="b">
        <f>IF($D$6&gt;65,"YES")</f>
        <v>0</v>
      </c>
      <c r="F181" s="159"/>
      <c r="G181" s="159"/>
      <c r="H181" s="99"/>
      <c r="I181" s="136">
        <f>IF(AND($I174&gt;9999,$I174&lt;100000),I177,0)</f>
        <v>0</v>
      </c>
      <c r="J181" s="136" t="e">
        <f>IF(AND($J174&gt;9999,$J174&lt;100000),J177,0)</f>
        <v>#DIV/0!</v>
      </c>
      <c r="K181" s="136">
        <f>IF(AND($K174&gt;9999,$K174&lt;100000),K177,0)</f>
        <v>0</v>
      </c>
      <c r="L181" s="136" t="e">
        <f>IF(AND($L174&gt;9999,$L174&lt;100000),L177,0)</f>
        <v>#DIV/0!</v>
      </c>
      <c r="M181" s="99"/>
      <c r="N181" s="99"/>
      <c r="O181" s="99"/>
      <c r="P181" s="99"/>
      <c r="Q181" s="99"/>
      <c r="R181" s="99"/>
      <c r="S181" s="99"/>
      <c r="T181" s="99"/>
    </row>
    <row r="182" spans="1:20" ht="17.25" x14ac:dyDescent="0.25">
      <c r="A182" s="7" t="s">
        <v>26</v>
      </c>
      <c r="B182" s="117">
        <f>B179/3</f>
        <v>183333.33333333334</v>
      </c>
      <c r="C182" s="118">
        <f>C178/3</f>
        <v>104183.70833333333</v>
      </c>
      <c r="D182" s="119" t="e">
        <f t="shared" ref="D182" si="15">D179/3</f>
        <v>#DIV/0!</v>
      </c>
      <c r="E182" s="81" t="e">
        <f>E178/3</f>
        <v>#DIV/0!</v>
      </c>
      <c r="F182" s="159"/>
      <c r="G182" s="159"/>
      <c r="I182" s="136">
        <f>IF(AND($I174&gt;99999,$I174&lt;1000000),I177,0)</f>
        <v>310000</v>
      </c>
      <c r="J182" s="136" t="e">
        <f>IF(AND($J174&gt;99999,$J174&lt;1000000),J177,0)</f>
        <v>#DIV/0!</v>
      </c>
      <c r="K182" s="136">
        <f>IF(AND($K174&gt;99999,$K174&lt;1000000),K177,0)</f>
        <v>550000</v>
      </c>
      <c r="L182" s="136" t="e">
        <f>IF(AND($L174&gt;99999,$L174&lt;1000000),L177,0)</f>
        <v>#DIV/0!</v>
      </c>
    </row>
    <row r="183" spans="1:20" ht="17.25" x14ac:dyDescent="0.25">
      <c r="A183" s="7" t="s">
        <v>27</v>
      </c>
      <c r="B183" s="120">
        <f>ROUND(C183,-4)</f>
        <v>70000</v>
      </c>
      <c r="C183" s="118">
        <f>C182*0.7</f>
        <v>72928.595833333326</v>
      </c>
      <c r="D183" s="121" t="e">
        <f>ROUND(E183,-4)</f>
        <v>#DIV/0!</v>
      </c>
      <c r="E183" s="81" t="e">
        <f>E182*0.7</f>
        <v>#DIV/0!</v>
      </c>
      <c r="F183" s="159"/>
      <c r="G183" s="159"/>
      <c r="I183" s="136">
        <f>IF(AND($I174&gt;999999,$I174&lt;10000000),I178,0)</f>
        <v>0</v>
      </c>
      <c r="J183" s="136" t="e">
        <f>IF(AND($J174&gt;999999,$J174&lt;10000000),J178,0)</f>
        <v>#DIV/0!</v>
      </c>
      <c r="K183" s="136">
        <f>IF(AND($K174&gt;999999,$K174&lt;10000000),K178,0)</f>
        <v>0</v>
      </c>
      <c r="L183" s="136" t="e">
        <f>IF(AND($L174&gt;999999,$L174&lt;10000000),L178,0)</f>
        <v>#DIV/0!</v>
      </c>
    </row>
    <row r="184" spans="1:20" ht="18" thickBot="1" x14ac:dyDescent="0.3">
      <c r="A184" s="82" t="s">
        <v>29</v>
      </c>
      <c r="B184" s="122">
        <f>B178/$B$10</f>
        <v>16.533333333333335</v>
      </c>
      <c r="C184" s="83">
        <f>(C178/$B$10)*0.01</f>
        <v>0.16669393333333332</v>
      </c>
      <c r="D184" s="122" t="e">
        <f>D178/$D$10</f>
        <v>#DIV/0!</v>
      </c>
      <c r="E184" s="84" t="e">
        <f>(E178/$D$10)*0.01</f>
        <v>#DIV/0!</v>
      </c>
      <c r="F184" s="159"/>
      <c r="G184" s="159"/>
      <c r="I184" s="136">
        <f>IF(AND($I174&gt;9999999,$I174&lt;100000000),I179,0)</f>
        <v>0</v>
      </c>
      <c r="J184" s="136" t="e">
        <f>IF(AND($J174&gt;9999999,$J174&lt;100000000),J179,0)</f>
        <v>#DIV/0!</v>
      </c>
      <c r="K184" s="136">
        <f>IF(AND($K174&gt;9999999,$K174&lt;100000000),K179,0)</f>
        <v>0</v>
      </c>
      <c r="L184" s="136" t="e">
        <f>IF(AND($L174&gt;9999999,$L174&lt;100000000),L179,0)</f>
        <v>#DIV/0!</v>
      </c>
    </row>
    <row r="185" spans="1:20" ht="15.75" thickBot="1" x14ac:dyDescent="0.3">
      <c r="B185" s="8"/>
      <c r="C185" s="65"/>
      <c r="D185" s="69"/>
      <c r="E185" s="60"/>
      <c r="F185" s="159"/>
      <c r="G185" s="159"/>
      <c r="I185" s="134"/>
      <c r="J185" s="134"/>
      <c r="K185" s="134"/>
      <c r="L185" s="134"/>
    </row>
    <row r="186" spans="1:20" ht="19.5" thickBot="1" x14ac:dyDescent="0.3">
      <c r="A186" s="96" t="s">
        <v>122</v>
      </c>
      <c r="B186" s="68"/>
      <c r="C186" s="68"/>
      <c r="D186" s="68"/>
      <c r="E186" s="68"/>
      <c r="F186" s="159"/>
      <c r="G186" s="159"/>
      <c r="I186" s="133">
        <f>SUM(I181:I184)</f>
        <v>310000</v>
      </c>
      <c r="J186" s="133" t="e">
        <f>SUM(J181:J184)</f>
        <v>#DIV/0!</v>
      </c>
      <c r="K186" s="133">
        <f>SUM(K181:K184)</f>
        <v>550000</v>
      </c>
      <c r="L186" s="133" t="e">
        <f>SUM(L181:L184)</f>
        <v>#DIV/0!</v>
      </c>
    </row>
    <row r="187" spans="1:20" ht="15.75" thickBot="1" x14ac:dyDescent="0.3">
      <c r="A187" s="4" t="s">
        <v>123</v>
      </c>
      <c r="B187" s="154">
        <v>1</v>
      </c>
      <c r="C187" s="70">
        <f>B187*20</f>
        <v>20</v>
      </c>
      <c r="D187" s="131"/>
      <c r="E187" s="70">
        <f>D187*20</f>
        <v>0</v>
      </c>
      <c r="F187" s="159"/>
      <c r="G187" s="159"/>
      <c r="I187" s="102"/>
      <c r="J187" s="102"/>
      <c r="K187" s="102"/>
      <c r="L187" s="102"/>
    </row>
    <row r="188" spans="1:20" ht="19.5" thickBot="1" x14ac:dyDescent="0.3">
      <c r="A188" s="4" t="s">
        <v>124</v>
      </c>
      <c r="B188" s="154">
        <v>1</v>
      </c>
      <c r="C188" s="70">
        <f>B188*20</f>
        <v>20</v>
      </c>
      <c r="D188" s="131"/>
      <c r="E188" s="70">
        <f>D188*20</f>
        <v>0</v>
      </c>
      <c r="F188" s="159"/>
      <c r="G188" s="159"/>
      <c r="I188" s="133">
        <f>C191</f>
        <v>182051.12500000003</v>
      </c>
      <c r="J188" s="133" t="e">
        <f>E191</f>
        <v>#DIV/0!</v>
      </c>
      <c r="K188" s="133">
        <f>C192</f>
        <v>321434.01757812506</v>
      </c>
      <c r="L188" s="133" t="e">
        <f>E192</f>
        <v>#DIV/0!</v>
      </c>
    </row>
    <row r="189" spans="1:20" ht="15.75" hidden="1" customHeight="1" x14ac:dyDescent="0.25">
      <c r="A189" s="71" t="s">
        <v>25</v>
      </c>
      <c r="B189" s="72"/>
      <c r="C189" s="73">
        <f>(SUM(C186:C188))*0.005</f>
        <v>0.2</v>
      </c>
      <c r="D189" s="74"/>
      <c r="E189" s="75">
        <f>(SUM(E185:E188))*0.005</f>
        <v>0</v>
      </c>
      <c r="F189" s="159"/>
      <c r="G189" s="159"/>
      <c r="I189" s="134"/>
      <c r="J189" s="134"/>
      <c r="K189" s="134"/>
      <c r="L189" s="134"/>
    </row>
    <row r="190" spans="1:20" ht="15.75" hidden="1" customHeight="1" thickBot="1" x14ac:dyDescent="0.3">
      <c r="A190" s="5" t="s">
        <v>24</v>
      </c>
      <c r="B190" s="8"/>
      <c r="C190" s="85">
        <f>$C$28</f>
        <v>87000</v>
      </c>
      <c r="D190" s="77"/>
      <c r="E190" s="78">
        <f>$E$28</f>
        <v>0</v>
      </c>
      <c r="F190" s="159"/>
      <c r="G190" s="159"/>
      <c r="I190" s="135">
        <f>ROUND(I188,-3)</f>
        <v>182000</v>
      </c>
      <c r="J190" s="135" t="e">
        <f>ROUND(J188,-3)</f>
        <v>#DIV/0!</v>
      </c>
      <c r="K190" s="135">
        <f>ROUND(K188,-3)</f>
        <v>321000</v>
      </c>
      <c r="L190" s="135" t="e">
        <f>ROUND(L188,-3)</f>
        <v>#DIV/0!</v>
      </c>
    </row>
    <row r="191" spans="1:20" ht="18" thickBot="1" x14ac:dyDescent="0.3">
      <c r="A191" s="37" t="s">
        <v>90</v>
      </c>
      <c r="B191" s="111">
        <f>I200</f>
        <v>180000</v>
      </c>
      <c r="C191" s="112">
        <f>($C$27+1+C189)*$C$28</f>
        <v>182051.12500000003</v>
      </c>
      <c r="D191" s="113" t="e">
        <f>J200</f>
        <v>#DIV/0!</v>
      </c>
      <c r="E191" s="148" t="e">
        <f>($E$27+1+E189)*$E$28</f>
        <v>#DIV/0!</v>
      </c>
      <c r="F191" s="159"/>
      <c r="G191" s="159"/>
      <c r="I191" s="135">
        <f>ROUND(I188,-4)</f>
        <v>180000</v>
      </c>
      <c r="J191" s="135" t="e">
        <f>ROUND(J188,-4)</f>
        <v>#DIV/0!</v>
      </c>
      <c r="K191" s="135">
        <f>ROUND(K188,-4)</f>
        <v>320000</v>
      </c>
      <c r="L191" s="135" t="e">
        <f>ROUND(L188,-4)</f>
        <v>#DIV/0!</v>
      </c>
    </row>
    <row r="192" spans="1:20" ht="18" thickBot="1" x14ac:dyDescent="0.3">
      <c r="A192" s="144" t="s">
        <v>28</v>
      </c>
      <c r="B192" s="145">
        <f>K200</f>
        <v>320000</v>
      </c>
      <c r="C192" s="152">
        <f>(($B$11-$B$10)/$B$11*C191)+C191</f>
        <v>321434.01757812506</v>
      </c>
      <c r="D192" s="147" t="e">
        <f>L200</f>
        <v>#DIV/0!</v>
      </c>
      <c r="E192" s="153" t="e">
        <f>(($D$11-$D$10)/$D$11*E191)+E191</f>
        <v>#DIV/0!</v>
      </c>
      <c r="F192" s="159"/>
      <c r="G192" s="159"/>
      <c r="I192" s="135">
        <f>ROUND(I188,-5)</f>
        <v>200000</v>
      </c>
      <c r="J192" s="135" t="e">
        <f>ROUND(J188,-5)</f>
        <v>#DIV/0!</v>
      </c>
      <c r="K192" s="135">
        <f>ROUND(K188,-5)</f>
        <v>300000</v>
      </c>
      <c r="L192" s="135" t="e">
        <f>ROUND(L188,-5)</f>
        <v>#DIV/0!</v>
      </c>
    </row>
    <row r="193" spans="1:20" s="12" customFormat="1" ht="17.25" x14ac:dyDescent="0.25">
      <c r="A193" s="11" t="s">
        <v>91</v>
      </c>
      <c r="B193" s="114"/>
      <c r="C193" s="79" t="b">
        <f>IF($B$5&gt;65,"YES")</f>
        <v>0</v>
      </c>
      <c r="D193" s="115" t="b">
        <f>E193</f>
        <v>0</v>
      </c>
      <c r="E193" s="80" t="b">
        <f>IF($D$5&gt;65,"YES")</f>
        <v>0</v>
      </c>
      <c r="F193" s="159"/>
      <c r="G193" s="159"/>
      <c r="H193" s="99"/>
      <c r="I193" s="135">
        <f>ROUND(I188,-6)</f>
        <v>0</v>
      </c>
      <c r="J193" s="135" t="e">
        <f>ROUND(J188,-6)</f>
        <v>#DIV/0!</v>
      </c>
      <c r="K193" s="135">
        <f>ROUND(K188,-6)</f>
        <v>0</v>
      </c>
      <c r="L193" s="135" t="e">
        <f>ROUND(L188,-6)</f>
        <v>#DIV/0!</v>
      </c>
      <c r="M193" s="99"/>
      <c r="N193" s="99"/>
      <c r="O193" s="99"/>
      <c r="P193" s="99"/>
      <c r="Q193" s="99"/>
      <c r="R193" s="99"/>
      <c r="S193" s="99"/>
      <c r="T193" s="99"/>
    </row>
    <row r="194" spans="1:20" s="12" customFormat="1" x14ac:dyDescent="0.25">
      <c r="A194" s="11" t="s">
        <v>92</v>
      </c>
      <c r="B194" s="116"/>
      <c r="C194" s="79" t="b">
        <f>IF($B$6&gt;65,"YES")</f>
        <v>0</v>
      </c>
      <c r="D194" s="115" t="b">
        <f>E194</f>
        <v>0</v>
      </c>
      <c r="E194" s="80" t="b">
        <f>IF($D$6&gt;65,"YES")</f>
        <v>0</v>
      </c>
      <c r="F194" s="159"/>
      <c r="G194" s="159"/>
      <c r="H194" s="99"/>
      <c r="I194" s="134"/>
      <c r="J194" s="134"/>
      <c r="K194" s="134"/>
      <c r="L194" s="134"/>
      <c r="M194" s="99"/>
      <c r="N194" s="99"/>
      <c r="O194" s="99"/>
      <c r="P194" s="99"/>
      <c r="Q194" s="99"/>
      <c r="R194" s="99"/>
      <c r="S194" s="99"/>
      <c r="T194" s="99"/>
    </row>
    <row r="195" spans="1:20" ht="17.25" x14ac:dyDescent="0.25">
      <c r="A195" s="7" t="s">
        <v>26</v>
      </c>
      <c r="B195" s="117">
        <f>B192/3</f>
        <v>106666.66666666667</v>
      </c>
      <c r="C195" s="118">
        <f>C191/3</f>
        <v>60683.708333333343</v>
      </c>
      <c r="D195" s="119" t="e">
        <f t="shared" ref="D195" si="16">D192/3</f>
        <v>#DIV/0!</v>
      </c>
      <c r="E195" s="81" t="e">
        <f>E191/3</f>
        <v>#DIV/0!</v>
      </c>
      <c r="F195" s="159"/>
      <c r="G195" s="159"/>
      <c r="I195" s="136">
        <f>IF(AND($I188&gt;9999,$I188&lt;100000),I191,0)</f>
        <v>0</v>
      </c>
      <c r="J195" s="136" t="e">
        <f>IF(AND($J188&gt;9999,$J188&lt;100000),J191,0)</f>
        <v>#DIV/0!</v>
      </c>
      <c r="K195" s="136">
        <f>IF(AND($K188&gt;9999,$K188&lt;100000),K191,0)</f>
        <v>0</v>
      </c>
      <c r="L195" s="136" t="e">
        <f>IF(AND($L188&gt;9999,$L188&lt;100000),L191,0)</f>
        <v>#DIV/0!</v>
      </c>
    </row>
    <row r="196" spans="1:20" ht="17.25" x14ac:dyDescent="0.25">
      <c r="A196" s="7" t="s">
        <v>27</v>
      </c>
      <c r="B196" s="120">
        <f>ROUND(C196,-4)</f>
        <v>40000</v>
      </c>
      <c r="C196" s="118">
        <f>C195*0.7</f>
        <v>42478.59583333334</v>
      </c>
      <c r="D196" s="121" t="e">
        <f>ROUND(E196,-4)</f>
        <v>#DIV/0!</v>
      </c>
      <c r="E196" s="81" t="e">
        <f>E195*0.7</f>
        <v>#DIV/0!</v>
      </c>
      <c r="F196" s="159"/>
      <c r="G196" s="159"/>
      <c r="I196" s="136">
        <f>IF(AND($I188&gt;99999,$I188&lt;1000000),I191,0)</f>
        <v>180000</v>
      </c>
      <c r="J196" s="136" t="e">
        <f>IF(AND($J188&gt;99999,$J188&lt;1000000),J191,0)</f>
        <v>#DIV/0!</v>
      </c>
      <c r="K196" s="136">
        <f>IF(AND($K188&gt;99999,$K188&lt;1000000),K191,0)</f>
        <v>320000</v>
      </c>
      <c r="L196" s="136" t="e">
        <f>IF(AND($L188&gt;99999,$L188&lt;1000000),L191,0)</f>
        <v>#DIV/0!</v>
      </c>
    </row>
    <row r="197" spans="1:20" ht="18" thickBot="1" x14ac:dyDescent="0.3">
      <c r="A197" s="82" t="s">
        <v>29</v>
      </c>
      <c r="B197" s="122">
        <f>B191/$B$10</f>
        <v>9.6</v>
      </c>
      <c r="C197" s="83">
        <f>(C191/$B$10)*0.01</f>
        <v>9.7093933333333354E-2</v>
      </c>
      <c r="D197" s="122" t="e">
        <f>D191/$D$10</f>
        <v>#DIV/0!</v>
      </c>
      <c r="E197" s="84" t="e">
        <f>(E191/$D$10)*0.01</f>
        <v>#DIV/0!</v>
      </c>
      <c r="F197" s="159"/>
      <c r="G197" s="159"/>
      <c r="I197" s="136">
        <f>IF(AND($I188&gt;999999,$I188&lt;10000000),I192,0)</f>
        <v>0</v>
      </c>
      <c r="J197" s="136" t="e">
        <f>IF(AND($J188&gt;999999,$J188&lt;10000000),J192,0)</f>
        <v>#DIV/0!</v>
      </c>
      <c r="K197" s="136">
        <f>IF(AND($K188&gt;999999,$K188&lt;10000000),K192,0)</f>
        <v>0</v>
      </c>
      <c r="L197" s="136" t="e">
        <f>IF(AND($L188&gt;999999,$L188&lt;10000000),L192,0)</f>
        <v>#DIV/0!</v>
      </c>
    </row>
    <row r="198" spans="1:20" ht="17.25" x14ac:dyDescent="0.25">
      <c r="B198" s="8"/>
      <c r="C198" s="65"/>
      <c r="D198" s="69"/>
      <c r="E198" s="60"/>
      <c r="F198" s="159"/>
      <c r="G198" s="159"/>
      <c r="I198" s="136">
        <f>IF(AND($I188&gt;9999999,$I188&lt;100000000),I193,0)</f>
        <v>0</v>
      </c>
      <c r="J198" s="136" t="e">
        <f>IF(AND($J188&gt;9999999,$J188&lt;100000000),J193,0)</f>
        <v>#DIV/0!</v>
      </c>
      <c r="K198" s="136">
        <f>IF(AND($K188&gt;9999999,$K188&lt;100000000),K193,0)</f>
        <v>0</v>
      </c>
      <c r="L198" s="136" t="e">
        <f>IF(AND($L188&gt;9999999,$L188&lt;100000000),L193,0)</f>
        <v>#DIV/0!</v>
      </c>
    </row>
    <row r="199" spans="1:20" ht="19.5" thickBot="1" x14ac:dyDescent="0.3">
      <c r="A199" s="96" t="s">
        <v>125</v>
      </c>
      <c r="B199" s="68"/>
      <c r="C199" s="68"/>
      <c r="D199" s="68"/>
      <c r="E199" s="68"/>
      <c r="F199" s="159"/>
      <c r="G199" s="159"/>
      <c r="I199" s="134"/>
      <c r="J199" s="134"/>
      <c r="K199" s="134"/>
      <c r="L199" s="134"/>
    </row>
    <row r="200" spans="1:20" ht="19.5" thickBot="1" x14ac:dyDescent="0.3">
      <c r="A200" s="4" t="s">
        <v>126</v>
      </c>
      <c r="B200" s="154">
        <v>1</v>
      </c>
      <c r="C200" s="70">
        <f>B200*20</f>
        <v>20</v>
      </c>
      <c r="D200" s="131"/>
      <c r="E200" s="70">
        <f>D200*20</f>
        <v>0</v>
      </c>
      <c r="F200" s="159"/>
      <c r="G200" s="159"/>
      <c r="I200" s="133">
        <f>SUM(I195:I198)</f>
        <v>180000</v>
      </c>
      <c r="J200" s="133" t="e">
        <f>SUM(J195:J198)</f>
        <v>#DIV/0!</v>
      </c>
      <c r="K200" s="133">
        <f>SUM(K195:K198)</f>
        <v>320000</v>
      </c>
      <c r="L200" s="133" t="e">
        <f>SUM(L195:L198)</f>
        <v>#DIV/0!</v>
      </c>
    </row>
    <row r="201" spans="1:20" ht="15.75" thickBot="1" x14ac:dyDescent="0.3">
      <c r="A201" s="4" t="s">
        <v>127</v>
      </c>
      <c r="B201" s="154">
        <v>1</v>
      </c>
      <c r="C201" s="70">
        <f>B201*20</f>
        <v>20</v>
      </c>
      <c r="D201" s="131"/>
      <c r="E201" s="70">
        <f>D201*20</f>
        <v>0</v>
      </c>
      <c r="F201" s="159"/>
      <c r="G201" s="159"/>
      <c r="I201" s="139"/>
      <c r="J201" s="139"/>
      <c r="K201" s="139"/>
      <c r="L201" s="139"/>
    </row>
    <row r="202" spans="1:20" ht="15.75" hidden="1" customHeight="1" thickBot="1" x14ac:dyDescent="0.3">
      <c r="A202" s="71" t="s">
        <v>25</v>
      </c>
      <c r="B202" s="72"/>
      <c r="C202" s="73">
        <f>(SUM(C199:C201))*0.005</f>
        <v>0.2</v>
      </c>
      <c r="D202" s="74"/>
      <c r="E202" s="75">
        <f>(SUM(E198:E201))*0.005</f>
        <v>0</v>
      </c>
      <c r="F202" s="159"/>
      <c r="G202" s="159"/>
      <c r="I202" s="133">
        <f>C204</f>
        <v>182051.12500000003</v>
      </c>
      <c r="J202" s="133" t="e">
        <f>E204</f>
        <v>#DIV/0!</v>
      </c>
      <c r="K202" s="133">
        <f>C205</f>
        <v>321434.01757812506</v>
      </c>
      <c r="L202" s="133" t="e">
        <f>E205</f>
        <v>#DIV/0!</v>
      </c>
    </row>
    <row r="203" spans="1:20" ht="15.75" hidden="1" customHeight="1" thickBot="1" x14ac:dyDescent="0.3">
      <c r="A203" s="5" t="s">
        <v>24</v>
      </c>
      <c r="B203" s="8"/>
      <c r="C203" s="85">
        <f>$C$28</f>
        <v>87000</v>
      </c>
      <c r="D203" s="77"/>
      <c r="E203" s="78">
        <f>$E$28</f>
        <v>0</v>
      </c>
      <c r="F203" s="159"/>
      <c r="G203" s="159"/>
      <c r="I203" s="134"/>
      <c r="J203" s="134"/>
      <c r="K203" s="134"/>
      <c r="L203" s="134"/>
    </row>
    <row r="204" spans="1:20" ht="18" thickBot="1" x14ac:dyDescent="0.3">
      <c r="A204" s="37" t="s">
        <v>90</v>
      </c>
      <c r="B204" s="111">
        <f>I214</f>
        <v>180000</v>
      </c>
      <c r="C204" s="112">
        <f>($C$27+1+C202)*$C$28</f>
        <v>182051.12500000003</v>
      </c>
      <c r="D204" s="113" t="e">
        <f>J214</f>
        <v>#DIV/0!</v>
      </c>
      <c r="E204" s="148" t="e">
        <f>($E$27+1+E202)*$E$28</f>
        <v>#DIV/0!</v>
      </c>
      <c r="F204" s="159"/>
      <c r="G204" s="159"/>
      <c r="I204" s="135">
        <f>ROUND(I202,-3)</f>
        <v>182000</v>
      </c>
      <c r="J204" s="135" t="e">
        <f>ROUND(J202,-3)</f>
        <v>#DIV/0!</v>
      </c>
      <c r="K204" s="135">
        <f>ROUND(K202,-3)</f>
        <v>321000</v>
      </c>
      <c r="L204" s="135" t="e">
        <f>ROUND(L202,-3)</f>
        <v>#DIV/0!</v>
      </c>
    </row>
    <row r="205" spans="1:20" ht="18" thickBot="1" x14ac:dyDescent="0.3">
      <c r="A205" s="144" t="s">
        <v>28</v>
      </c>
      <c r="B205" s="145">
        <f>K214</f>
        <v>320000</v>
      </c>
      <c r="C205" s="152">
        <f>(($B$11-$B$10)/$B$11*C204)+C204</f>
        <v>321434.01757812506</v>
      </c>
      <c r="D205" s="147" t="e">
        <f>L214</f>
        <v>#DIV/0!</v>
      </c>
      <c r="E205" s="153" t="e">
        <f>(($D$11-$D$10)/$D$11*E204)+E204</f>
        <v>#DIV/0!</v>
      </c>
      <c r="F205" s="159"/>
      <c r="G205" s="159"/>
      <c r="I205" s="135">
        <f>ROUND(I202,-4)</f>
        <v>180000</v>
      </c>
      <c r="J205" s="135" t="e">
        <f>ROUND(J202,-4)</f>
        <v>#DIV/0!</v>
      </c>
      <c r="K205" s="135">
        <f>ROUND(K202,-4)</f>
        <v>320000</v>
      </c>
      <c r="L205" s="135" t="e">
        <f>ROUND(L202,-4)</f>
        <v>#DIV/0!</v>
      </c>
    </row>
    <row r="206" spans="1:20" s="12" customFormat="1" ht="17.25" x14ac:dyDescent="0.25">
      <c r="A206" s="11" t="s">
        <v>91</v>
      </c>
      <c r="B206" s="114"/>
      <c r="C206" s="79" t="b">
        <f>IF($B$5&gt;65,"YES")</f>
        <v>0</v>
      </c>
      <c r="D206" s="115" t="b">
        <f>E206</f>
        <v>0</v>
      </c>
      <c r="E206" s="80" t="b">
        <f>IF($D$5&gt;65,"YES")</f>
        <v>0</v>
      </c>
      <c r="F206" s="159"/>
      <c r="G206" s="159"/>
      <c r="H206" s="99"/>
      <c r="I206" s="135">
        <f>ROUND(I202,-5)</f>
        <v>200000</v>
      </c>
      <c r="J206" s="135" t="e">
        <f>ROUND(J202,-5)</f>
        <v>#DIV/0!</v>
      </c>
      <c r="K206" s="135">
        <f>ROUND(K202,-5)</f>
        <v>300000</v>
      </c>
      <c r="L206" s="135" t="e">
        <f>ROUND(L202,-5)</f>
        <v>#DIV/0!</v>
      </c>
      <c r="M206" s="99"/>
      <c r="N206" s="99"/>
      <c r="O206" s="99"/>
      <c r="P206" s="99"/>
      <c r="Q206" s="99"/>
      <c r="R206" s="99"/>
      <c r="S206" s="99"/>
      <c r="T206" s="99"/>
    </row>
    <row r="207" spans="1:20" s="12" customFormat="1" ht="17.25" x14ac:dyDescent="0.25">
      <c r="A207" s="11" t="s">
        <v>92</v>
      </c>
      <c r="B207" s="116"/>
      <c r="C207" s="79" t="b">
        <f>IF($B$6&gt;65,"YES")</f>
        <v>0</v>
      </c>
      <c r="D207" s="115" t="b">
        <f>E207</f>
        <v>0</v>
      </c>
      <c r="E207" s="80" t="b">
        <f>IF($D$6&gt;65,"YES")</f>
        <v>0</v>
      </c>
      <c r="F207" s="159"/>
      <c r="G207" s="159"/>
      <c r="H207" s="99"/>
      <c r="I207" s="135">
        <f>ROUND(I202,-6)</f>
        <v>0</v>
      </c>
      <c r="J207" s="135" t="e">
        <f>ROUND(J202,-6)</f>
        <v>#DIV/0!</v>
      </c>
      <c r="K207" s="135">
        <f>ROUND(K202,-6)</f>
        <v>0</v>
      </c>
      <c r="L207" s="135" t="e">
        <f>ROUND(L202,-6)</f>
        <v>#DIV/0!</v>
      </c>
      <c r="M207" s="99"/>
      <c r="N207" s="99"/>
      <c r="O207" s="99"/>
      <c r="P207" s="99"/>
      <c r="Q207" s="99"/>
      <c r="R207" s="99"/>
      <c r="S207" s="99"/>
      <c r="T207" s="99"/>
    </row>
    <row r="208" spans="1:20" x14ac:dyDescent="0.25">
      <c r="A208" s="7" t="s">
        <v>26</v>
      </c>
      <c r="B208" s="117">
        <f>B205/3</f>
        <v>106666.66666666667</v>
      </c>
      <c r="C208" s="118">
        <f>C204/3</f>
        <v>60683.708333333343</v>
      </c>
      <c r="D208" s="119" t="e">
        <f t="shared" ref="D208" si="17">D205/3</f>
        <v>#DIV/0!</v>
      </c>
      <c r="E208" s="81" t="e">
        <f>E204/3</f>
        <v>#DIV/0!</v>
      </c>
      <c r="F208" s="159"/>
      <c r="G208" s="159"/>
      <c r="I208" s="134"/>
      <c r="J208" s="134"/>
      <c r="K208" s="134"/>
      <c r="L208" s="134"/>
    </row>
    <row r="209" spans="1:12" ht="17.25" x14ac:dyDescent="0.25">
      <c r="A209" s="7" t="s">
        <v>27</v>
      </c>
      <c r="B209" s="120">
        <f>ROUND(C209,-4)</f>
        <v>40000</v>
      </c>
      <c r="C209" s="118">
        <f>C208*0.7</f>
        <v>42478.59583333334</v>
      </c>
      <c r="D209" s="121" t="e">
        <f>ROUND(E209,-4)</f>
        <v>#DIV/0!</v>
      </c>
      <c r="E209" s="81" t="e">
        <f>E208*0.7</f>
        <v>#DIV/0!</v>
      </c>
      <c r="F209" s="159"/>
      <c r="G209" s="159"/>
      <c r="I209" s="136">
        <f>IF(AND($I202&gt;9999,$I202&lt;100000),I205,0)</f>
        <v>0</v>
      </c>
      <c r="J209" s="136" t="e">
        <f>IF(AND($J202&gt;9999,$J202&lt;100000),J205,0)</f>
        <v>#DIV/0!</v>
      </c>
      <c r="K209" s="136">
        <f>IF(AND($K202&gt;9999,$K202&lt;100000),K205,0)</f>
        <v>0</v>
      </c>
      <c r="L209" s="136" t="e">
        <f>IF(AND($L202&gt;9999,$L202&lt;100000),L205,0)</f>
        <v>#DIV/0!</v>
      </c>
    </row>
    <row r="210" spans="1:12" ht="18" thickBot="1" x14ac:dyDescent="0.3">
      <c r="A210" s="82" t="s">
        <v>29</v>
      </c>
      <c r="B210" s="122">
        <f>B204/$B$10</f>
        <v>9.6</v>
      </c>
      <c r="C210" s="83">
        <f>(C204/$B$10)*0.01</f>
        <v>9.7093933333333354E-2</v>
      </c>
      <c r="D210" s="122" t="e">
        <f>D204/$D$10</f>
        <v>#DIV/0!</v>
      </c>
      <c r="E210" s="86" t="e">
        <f>(E204/$D$10)*0.01</f>
        <v>#DIV/0!</v>
      </c>
      <c r="F210" s="159"/>
      <c r="G210" s="159"/>
      <c r="I210" s="136">
        <f>IF(AND($I202&gt;99999,$I202&lt;1000000),I205,0)</f>
        <v>180000</v>
      </c>
      <c r="J210" s="136" t="e">
        <f>IF(AND($J202&gt;99999,$J202&lt;1000000),J205,0)</f>
        <v>#DIV/0!</v>
      </c>
      <c r="K210" s="136">
        <f>IF(AND($K202&gt;99999,$K202&lt;1000000),K205,0)</f>
        <v>320000</v>
      </c>
      <c r="L210" s="136" t="e">
        <f>IF(AND($L202&gt;99999,$L202&lt;1000000),L205,0)</f>
        <v>#DIV/0!</v>
      </c>
    </row>
    <row r="211" spans="1:12" s="97" customFormat="1" ht="17.25" x14ac:dyDescent="0.25">
      <c r="A211" s="103"/>
      <c r="B211" s="105"/>
      <c r="C211" s="105"/>
      <c r="D211" s="105"/>
      <c r="E211" s="101"/>
      <c r="F211" s="159"/>
      <c r="G211" s="159"/>
      <c r="I211" s="136">
        <f>IF(AND($I202&gt;999999,$I202&lt;10000000),I206,0)</f>
        <v>0</v>
      </c>
      <c r="J211" s="136" t="e">
        <f>IF(AND($J202&gt;999999,$J202&lt;10000000),J206,0)</f>
        <v>#DIV/0!</v>
      </c>
      <c r="K211" s="136">
        <f>IF(AND($K202&gt;999999,$K202&lt;10000000),K206,0)</f>
        <v>0</v>
      </c>
      <c r="L211" s="136" t="e">
        <f>IF(AND($L202&gt;999999,$L202&lt;10000000),L206,0)</f>
        <v>#DIV/0!</v>
      </c>
    </row>
    <row r="212" spans="1:12" s="97" customFormat="1" ht="17.25" x14ac:dyDescent="0.25">
      <c r="A212" s="103"/>
      <c r="B212" s="105"/>
      <c r="C212" s="105"/>
      <c r="D212" s="105"/>
      <c r="E212" s="101"/>
      <c r="F212" s="159"/>
      <c r="G212" s="159"/>
      <c r="I212" s="136">
        <f>IF(AND($I202&gt;9999999,$I202&lt;100000000),I207,0)</f>
        <v>0</v>
      </c>
      <c r="J212" s="136" t="e">
        <f>IF(AND($J202&gt;9999999,$J202&lt;100000000),J207,0)</f>
        <v>#DIV/0!</v>
      </c>
      <c r="K212" s="136">
        <f>IF(AND($K202&gt;9999999,$K202&lt;100000000),K207,0)</f>
        <v>0</v>
      </c>
      <c r="L212" s="136" t="e">
        <f>IF(AND($L202&gt;9999999,$L202&lt;100000000),L207,0)</f>
        <v>#DIV/0!</v>
      </c>
    </row>
    <row r="213" spans="1:12" s="97" customFormat="1" ht="15.75" thickBot="1" x14ac:dyDescent="0.3">
      <c r="A213" s="103"/>
      <c r="B213" s="105"/>
      <c r="C213" s="105"/>
      <c r="D213" s="105"/>
      <c r="E213" s="101"/>
      <c r="F213" s="104"/>
      <c r="G213" s="102"/>
      <c r="I213" s="134"/>
      <c r="J213" s="134"/>
      <c r="K213" s="134"/>
      <c r="L213" s="134"/>
    </row>
    <row r="214" spans="1:12" s="97" customFormat="1" ht="19.5" thickBot="1" x14ac:dyDescent="0.3">
      <c r="A214" s="103"/>
      <c r="B214" s="105"/>
      <c r="C214" s="105"/>
      <c r="D214" s="105"/>
      <c r="E214" s="101"/>
      <c r="F214" s="104"/>
      <c r="G214" s="102"/>
      <c r="I214" s="133">
        <f>SUM(I209:I212)</f>
        <v>180000</v>
      </c>
      <c r="J214" s="133" t="e">
        <f>SUM(J209:J212)</f>
        <v>#DIV/0!</v>
      </c>
      <c r="K214" s="133">
        <f>SUM(K209:K212)</f>
        <v>320000</v>
      </c>
      <c r="L214" s="133" t="e">
        <f>SUM(L209:L212)</f>
        <v>#DIV/0!</v>
      </c>
    </row>
    <row r="215" spans="1:12" s="97" customFormat="1" x14ac:dyDescent="0.25">
      <c r="A215" s="103"/>
      <c r="B215" s="105"/>
      <c r="C215" s="105"/>
      <c r="D215" s="105"/>
      <c r="E215" s="101"/>
      <c r="F215" s="104"/>
      <c r="G215" s="102"/>
    </row>
    <row r="216" spans="1:12" s="97" customFormat="1" x14ac:dyDescent="0.25">
      <c r="A216" s="103"/>
      <c r="B216" s="105"/>
      <c r="C216" s="105"/>
      <c r="D216" s="105"/>
      <c r="E216" s="101"/>
      <c r="F216" s="104"/>
      <c r="G216" s="102"/>
    </row>
    <row r="217" spans="1:12" s="97" customFormat="1" x14ac:dyDescent="0.25">
      <c r="A217" s="160"/>
      <c r="B217" s="160"/>
      <c r="C217" s="160"/>
      <c r="D217" s="160"/>
      <c r="E217" s="160"/>
      <c r="F217" s="160"/>
      <c r="G217" s="160"/>
    </row>
    <row r="218" spans="1:12" s="97" customFormat="1" x14ac:dyDescent="0.25">
      <c r="A218" s="160"/>
      <c r="B218" s="160"/>
      <c r="C218" s="160"/>
      <c r="D218" s="160"/>
      <c r="E218" s="160"/>
      <c r="F218" s="160"/>
      <c r="G218" s="160"/>
    </row>
    <row r="219" spans="1:12" s="97" customFormat="1" x14ac:dyDescent="0.25">
      <c r="A219" s="160"/>
      <c r="B219" s="160"/>
      <c r="C219" s="160"/>
      <c r="D219" s="160"/>
      <c r="E219" s="160"/>
      <c r="F219" s="160"/>
      <c r="G219" s="160"/>
    </row>
    <row r="220" spans="1:12" s="97" customFormat="1" x14ac:dyDescent="0.25">
      <c r="A220" s="160"/>
      <c r="B220" s="160"/>
      <c r="C220" s="160"/>
      <c r="D220" s="160"/>
      <c r="E220" s="160"/>
      <c r="F220" s="160"/>
      <c r="G220" s="160"/>
    </row>
    <row r="221" spans="1:12" s="97" customFormat="1" x14ac:dyDescent="0.25">
      <c r="A221" s="160"/>
      <c r="B221" s="160"/>
      <c r="C221" s="160"/>
      <c r="D221" s="160"/>
      <c r="E221" s="160"/>
      <c r="F221" s="160"/>
      <c r="G221" s="160"/>
    </row>
    <row r="222" spans="1:12" s="97" customFormat="1" x14ac:dyDescent="0.25">
      <c r="A222" s="160"/>
      <c r="B222" s="160"/>
      <c r="C222" s="160"/>
      <c r="D222" s="160"/>
      <c r="E222" s="160"/>
      <c r="F222" s="160"/>
      <c r="G222" s="160"/>
    </row>
    <row r="223" spans="1:12" s="97" customFormat="1" x14ac:dyDescent="0.25">
      <c r="A223" s="160"/>
      <c r="B223" s="160"/>
      <c r="C223" s="160"/>
      <c r="D223" s="160"/>
      <c r="E223" s="160"/>
      <c r="F223" s="160"/>
      <c r="G223" s="160"/>
    </row>
    <row r="224" spans="1:12" s="97" customFormat="1" x14ac:dyDescent="0.25">
      <c r="A224" s="160"/>
      <c r="B224" s="160"/>
      <c r="C224" s="160"/>
      <c r="D224" s="160"/>
      <c r="E224" s="160"/>
      <c r="F224" s="160"/>
      <c r="G224" s="160"/>
    </row>
    <row r="225" spans="1:7" s="97" customFormat="1" x14ac:dyDescent="0.25">
      <c r="A225" s="160"/>
      <c r="B225" s="160"/>
      <c r="C225" s="160"/>
      <c r="D225" s="160"/>
      <c r="E225" s="160"/>
      <c r="F225" s="160"/>
      <c r="G225" s="160"/>
    </row>
    <row r="226" spans="1:7" s="97" customFormat="1" x14ac:dyDescent="0.25">
      <c r="A226" s="160"/>
      <c r="B226" s="160"/>
      <c r="C226" s="160"/>
      <c r="D226" s="160"/>
      <c r="E226" s="160"/>
      <c r="F226" s="160"/>
      <c r="G226" s="160"/>
    </row>
    <row r="227" spans="1:7" s="97" customFormat="1" x14ac:dyDescent="0.25">
      <c r="A227" s="160"/>
      <c r="B227" s="160"/>
      <c r="C227" s="160"/>
      <c r="D227" s="160"/>
      <c r="E227" s="160"/>
      <c r="F227" s="160"/>
      <c r="G227" s="160"/>
    </row>
    <row r="228" spans="1:7" s="97" customFormat="1" x14ac:dyDescent="0.25">
      <c r="A228" s="160"/>
      <c r="B228" s="160"/>
      <c r="C228" s="160"/>
      <c r="D228" s="160"/>
      <c r="E228" s="160"/>
      <c r="F228" s="160"/>
      <c r="G228" s="160"/>
    </row>
    <row r="229" spans="1:7" s="97" customFormat="1" x14ac:dyDescent="0.25">
      <c r="A229" s="160"/>
      <c r="B229" s="160"/>
      <c r="C229" s="160"/>
      <c r="D229" s="160"/>
      <c r="E229" s="160"/>
      <c r="F229" s="160"/>
      <c r="G229" s="160"/>
    </row>
    <row r="230" spans="1:7" s="97" customFormat="1" x14ac:dyDescent="0.25">
      <c r="A230" s="160"/>
      <c r="B230" s="160"/>
      <c r="C230" s="160"/>
      <c r="D230" s="160"/>
      <c r="E230" s="160"/>
      <c r="F230" s="160"/>
      <c r="G230" s="160"/>
    </row>
    <row r="231" spans="1:7" s="97" customFormat="1" x14ac:dyDescent="0.25">
      <c r="A231" s="160"/>
      <c r="B231" s="160"/>
      <c r="C231" s="160"/>
      <c r="D231" s="160"/>
      <c r="E231" s="160"/>
      <c r="F231" s="160"/>
      <c r="G231" s="160"/>
    </row>
    <row r="232" spans="1:7" s="97" customFormat="1" x14ac:dyDescent="0.25">
      <c r="A232" s="160"/>
      <c r="B232" s="160"/>
      <c r="C232" s="160"/>
      <c r="D232" s="160"/>
      <c r="E232" s="160"/>
      <c r="F232" s="160"/>
      <c r="G232" s="160"/>
    </row>
    <row r="233" spans="1:7" s="97" customFormat="1" x14ac:dyDescent="0.25">
      <c r="A233" s="160"/>
      <c r="B233" s="160"/>
      <c r="C233" s="160"/>
      <c r="D233" s="160"/>
      <c r="E233" s="160"/>
      <c r="F233" s="160"/>
      <c r="G233" s="160"/>
    </row>
    <row r="234" spans="1:7" s="97" customFormat="1" x14ac:dyDescent="0.25">
      <c r="A234" s="160"/>
      <c r="B234" s="160"/>
      <c r="C234" s="160"/>
      <c r="D234" s="160"/>
      <c r="E234" s="160"/>
      <c r="F234" s="160"/>
      <c r="G234" s="160"/>
    </row>
    <row r="235" spans="1:7" s="97" customFormat="1" x14ac:dyDescent="0.25">
      <c r="A235" s="160"/>
      <c r="B235" s="160"/>
      <c r="C235" s="160"/>
      <c r="D235" s="160"/>
      <c r="E235" s="160"/>
      <c r="F235" s="160"/>
      <c r="G235" s="160"/>
    </row>
    <row r="236" spans="1:7" s="97" customFormat="1" x14ac:dyDescent="0.25">
      <c r="A236" s="160"/>
      <c r="B236" s="160"/>
      <c r="C236" s="160"/>
      <c r="D236" s="160"/>
      <c r="E236" s="160"/>
      <c r="F236" s="160"/>
      <c r="G236" s="160"/>
    </row>
    <row r="237" spans="1:7" s="97" customFormat="1" x14ac:dyDescent="0.25">
      <c r="A237" s="160"/>
      <c r="B237" s="160"/>
      <c r="C237" s="160"/>
      <c r="D237" s="160"/>
      <c r="E237" s="160"/>
      <c r="F237" s="160"/>
      <c r="G237" s="160"/>
    </row>
    <row r="238" spans="1:7" s="97" customFormat="1" x14ac:dyDescent="0.25">
      <c r="A238" s="160"/>
      <c r="B238" s="160"/>
      <c r="C238" s="160"/>
      <c r="D238" s="160"/>
      <c r="E238" s="160"/>
      <c r="F238" s="160"/>
      <c r="G238" s="160"/>
    </row>
    <row r="239" spans="1:7" s="97" customFormat="1" x14ac:dyDescent="0.25">
      <c r="A239" s="160"/>
      <c r="B239" s="160"/>
      <c r="C239" s="160"/>
      <c r="D239" s="160"/>
      <c r="E239" s="160"/>
      <c r="F239" s="160"/>
      <c r="G239" s="160"/>
    </row>
    <row r="240" spans="1:7" s="97" customFormat="1" x14ac:dyDescent="0.25">
      <c r="A240" s="160"/>
      <c r="B240" s="160"/>
      <c r="C240" s="160"/>
      <c r="D240" s="160"/>
      <c r="E240" s="160"/>
      <c r="F240" s="160"/>
      <c r="G240" s="160"/>
    </row>
    <row r="241" spans="1:7" s="97" customFormat="1" x14ac:dyDescent="0.25">
      <c r="A241" s="160"/>
      <c r="B241" s="160"/>
      <c r="C241" s="160"/>
      <c r="D241" s="160"/>
      <c r="E241" s="160"/>
      <c r="F241" s="160"/>
      <c r="G241" s="160"/>
    </row>
    <row r="242" spans="1:7" s="97" customFormat="1" x14ac:dyDescent="0.25">
      <c r="A242" s="160"/>
      <c r="B242" s="160"/>
      <c r="C242" s="160"/>
      <c r="D242" s="160"/>
      <c r="E242" s="160"/>
      <c r="F242" s="160"/>
      <c r="G242" s="160"/>
    </row>
    <row r="243" spans="1:7" s="97" customFormat="1" x14ac:dyDescent="0.25">
      <c r="A243" s="160"/>
      <c r="B243" s="160"/>
      <c r="C243" s="160"/>
      <c r="D243" s="160"/>
      <c r="E243" s="160"/>
      <c r="F243" s="160"/>
      <c r="G243" s="160"/>
    </row>
    <row r="244" spans="1:7" s="97" customFormat="1" x14ac:dyDescent="0.25">
      <c r="A244" s="160"/>
      <c r="B244" s="160"/>
      <c r="C244" s="160"/>
      <c r="D244" s="160"/>
      <c r="E244" s="160"/>
      <c r="F244" s="160"/>
      <c r="G244" s="160"/>
    </row>
    <row r="245" spans="1:7" s="97" customFormat="1" x14ac:dyDescent="0.25">
      <c r="A245" s="160"/>
      <c r="B245" s="160"/>
      <c r="C245" s="160"/>
      <c r="D245" s="160"/>
      <c r="E245" s="160"/>
      <c r="F245" s="160"/>
      <c r="G245" s="160"/>
    </row>
    <row r="246" spans="1:7" s="97" customFormat="1" x14ac:dyDescent="0.25">
      <c r="A246" s="160"/>
      <c r="B246" s="160"/>
      <c r="C246" s="160"/>
      <c r="D246" s="160"/>
      <c r="E246" s="160"/>
      <c r="F246" s="160"/>
      <c r="G246" s="160"/>
    </row>
    <row r="247" spans="1:7" s="97" customFormat="1" x14ac:dyDescent="0.25">
      <c r="A247" s="160"/>
      <c r="B247" s="160"/>
      <c r="C247" s="160"/>
      <c r="D247" s="160"/>
      <c r="E247" s="160"/>
      <c r="F247" s="160"/>
      <c r="G247" s="160"/>
    </row>
    <row r="248" spans="1:7" s="97" customFormat="1" x14ac:dyDescent="0.25">
      <c r="A248" s="160"/>
      <c r="B248" s="160"/>
      <c r="C248" s="160"/>
      <c r="D248" s="160"/>
      <c r="E248" s="160"/>
      <c r="F248" s="160"/>
      <c r="G248" s="160"/>
    </row>
    <row r="249" spans="1:7" s="97" customFormat="1" x14ac:dyDescent="0.25">
      <c r="A249" s="160"/>
      <c r="B249" s="160"/>
      <c r="C249" s="160"/>
      <c r="D249" s="160"/>
      <c r="E249" s="160"/>
      <c r="F249" s="160"/>
      <c r="G249" s="160"/>
    </row>
    <row r="250" spans="1:7" s="97" customFormat="1" x14ac:dyDescent="0.25">
      <c r="A250" s="160"/>
      <c r="B250" s="160"/>
      <c r="C250" s="160"/>
      <c r="D250" s="160"/>
      <c r="E250" s="160"/>
      <c r="F250" s="160"/>
      <c r="G250" s="160"/>
    </row>
    <row r="251" spans="1:7" s="97" customFormat="1" x14ac:dyDescent="0.25">
      <c r="A251" s="160"/>
      <c r="B251" s="160"/>
      <c r="C251" s="160"/>
      <c r="D251" s="160"/>
      <c r="E251" s="160"/>
      <c r="F251" s="160"/>
      <c r="G251" s="160"/>
    </row>
    <row r="252" spans="1:7" s="97" customFormat="1" x14ac:dyDescent="0.25">
      <c r="A252" s="160"/>
      <c r="B252" s="160"/>
      <c r="C252" s="160"/>
      <c r="D252" s="160"/>
      <c r="E252" s="160"/>
      <c r="F252" s="160"/>
      <c r="G252" s="160"/>
    </row>
    <row r="253" spans="1:7" s="97" customFormat="1" x14ac:dyDescent="0.25">
      <c r="A253" s="160"/>
      <c r="B253" s="160"/>
      <c r="C253" s="160"/>
      <c r="D253" s="160"/>
      <c r="E253" s="160"/>
      <c r="F253" s="160"/>
      <c r="G253" s="160"/>
    </row>
    <row r="254" spans="1:7" s="97" customFormat="1" x14ac:dyDescent="0.25">
      <c r="A254" s="160"/>
      <c r="B254" s="160"/>
      <c r="C254" s="160"/>
      <c r="D254" s="160"/>
      <c r="E254" s="160"/>
      <c r="F254" s="160"/>
      <c r="G254" s="160"/>
    </row>
    <row r="255" spans="1:7" s="97" customFormat="1" x14ac:dyDescent="0.25">
      <c r="A255" s="160"/>
      <c r="B255" s="160"/>
      <c r="C255" s="160"/>
      <c r="D255" s="160"/>
      <c r="E255" s="160"/>
      <c r="F255" s="160"/>
      <c r="G255" s="160"/>
    </row>
    <row r="256" spans="1:7" s="97" customFormat="1" x14ac:dyDescent="0.25">
      <c r="A256" s="160"/>
      <c r="B256" s="160"/>
      <c r="C256" s="160"/>
      <c r="D256" s="160"/>
      <c r="E256" s="160"/>
      <c r="F256" s="160"/>
      <c r="G256" s="160"/>
    </row>
    <row r="257" spans="1:7" s="97" customFormat="1" x14ac:dyDescent="0.25">
      <c r="A257" s="160"/>
      <c r="B257" s="160"/>
      <c r="C257" s="160"/>
      <c r="D257" s="160"/>
      <c r="E257" s="160"/>
      <c r="F257" s="160"/>
      <c r="G257" s="160"/>
    </row>
    <row r="258" spans="1:7" s="97" customFormat="1" x14ac:dyDescent="0.25">
      <c r="A258" s="160"/>
      <c r="B258" s="160"/>
      <c r="C258" s="160"/>
      <c r="D258" s="160"/>
      <c r="E258" s="160"/>
      <c r="F258" s="160"/>
      <c r="G258" s="160"/>
    </row>
    <row r="259" spans="1:7" s="97" customFormat="1" x14ac:dyDescent="0.25">
      <c r="A259" s="160"/>
      <c r="B259" s="160"/>
      <c r="C259" s="160"/>
      <c r="D259" s="160"/>
      <c r="E259" s="160"/>
      <c r="F259" s="160"/>
      <c r="G259" s="160"/>
    </row>
    <row r="260" spans="1:7" s="97" customFormat="1" x14ac:dyDescent="0.25">
      <c r="A260" s="160"/>
      <c r="B260" s="160"/>
      <c r="C260" s="160"/>
      <c r="D260" s="160"/>
      <c r="E260" s="160"/>
      <c r="F260" s="160"/>
      <c r="G260" s="160"/>
    </row>
    <row r="261" spans="1:7" s="97" customFormat="1" x14ac:dyDescent="0.25">
      <c r="A261" s="160"/>
      <c r="B261" s="160"/>
      <c r="C261" s="160"/>
      <c r="D261" s="160"/>
      <c r="E261" s="160"/>
      <c r="F261" s="160"/>
      <c r="G261" s="160"/>
    </row>
    <row r="262" spans="1:7" s="97" customFormat="1" x14ac:dyDescent="0.25">
      <c r="A262" s="160"/>
      <c r="B262" s="160"/>
      <c r="C262" s="160"/>
      <c r="D262" s="160"/>
      <c r="E262" s="160"/>
      <c r="F262" s="160"/>
      <c r="G262" s="160"/>
    </row>
    <row r="263" spans="1:7" s="97" customFormat="1" x14ac:dyDescent="0.25">
      <c r="A263" s="160"/>
      <c r="B263" s="160"/>
      <c r="C263" s="160"/>
      <c r="D263" s="160"/>
      <c r="E263" s="160"/>
      <c r="F263" s="160"/>
      <c r="G263" s="160"/>
    </row>
    <row r="264" spans="1:7" s="97" customFormat="1" x14ac:dyDescent="0.25">
      <c r="A264" s="160"/>
      <c r="B264" s="160"/>
      <c r="C264" s="160"/>
      <c r="D264" s="160"/>
      <c r="E264" s="160"/>
      <c r="F264" s="160"/>
      <c r="G264" s="160"/>
    </row>
    <row r="265" spans="1:7" s="97" customFormat="1" x14ac:dyDescent="0.25">
      <c r="A265" s="160"/>
      <c r="B265" s="160"/>
      <c r="C265" s="160"/>
      <c r="D265" s="160"/>
      <c r="E265" s="160"/>
      <c r="F265" s="160"/>
      <c r="G265" s="160"/>
    </row>
    <row r="266" spans="1:7" s="97" customFormat="1" x14ac:dyDescent="0.25">
      <c r="A266" s="160"/>
      <c r="B266" s="160"/>
      <c r="C266" s="160"/>
      <c r="D266" s="160"/>
      <c r="E266" s="160"/>
      <c r="F266" s="160"/>
      <c r="G266" s="160"/>
    </row>
    <row r="267" spans="1:7" s="97" customFormat="1" x14ac:dyDescent="0.25">
      <c r="A267" s="160"/>
      <c r="B267" s="160"/>
      <c r="C267" s="160"/>
      <c r="D267" s="160"/>
      <c r="E267" s="160"/>
      <c r="F267" s="160"/>
      <c r="G267" s="160"/>
    </row>
    <row r="268" spans="1:7" s="97" customFormat="1" x14ac:dyDescent="0.25">
      <c r="A268" s="160"/>
      <c r="B268" s="160"/>
      <c r="C268" s="160"/>
      <c r="D268" s="160"/>
      <c r="E268" s="160"/>
      <c r="F268" s="160"/>
      <c r="G268" s="160"/>
    </row>
    <row r="269" spans="1:7" s="97" customFormat="1" x14ac:dyDescent="0.25">
      <c r="A269" s="160"/>
      <c r="B269" s="160"/>
      <c r="C269" s="160"/>
      <c r="D269" s="160"/>
      <c r="E269" s="160"/>
      <c r="F269" s="160"/>
      <c r="G269" s="160"/>
    </row>
    <row r="270" spans="1:7" s="97" customFormat="1" x14ac:dyDescent="0.25">
      <c r="A270" s="160"/>
      <c r="B270" s="160"/>
      <c r="C270" s="160"/>
      <c r="D270" s="160"/>
      <c r="E270" s="160"/>
      <c r="F270" s="160"/>
      <c r="G270" s="160"/>
    </row>
    <row r="271" spans="1:7" s="97" customFormat="1" x14ac:dyDescent="0.25">
      <c r="A271" s="160"/>
      <c r="B271" s="160"/>
      <c r="C271" s="160"/>
      <c r="D271" s="160"/>
      <c r="E271" s="160"/>
      <c r="F271" s="160"/>
      <c r="G271" s="160"/>
    </row>
    <row r="272" spans="1:7" s="97" customFormat="1" x14ac:dyDescent="0.25">
      <c r="A272" s="160"/>
      <c r="B272" s="160"/>
      <c r="C272" s="160"/>
      <c r="D272" s="160"/>
      <c r="E272" s="160"/>
      <c r="F272" s="160"/>
      <c r="G272" s="160"/>
    </row>
    <row r="273" spans="1:7" s="97" customFormat="1" x14ac:dyDescent="0.25">
      <c r="A273" s="160"/>
      <c r="B273" s="160"/>
      <c r="C273" s="160"/>
      <c r="D273" s="160"/>
      <c r="E273" s="160"/>
      <c r="F273" s="160"/>
      <c r="G273" s="160"/>
    </row>
    <row r="274" spans="1:7" s="97" customFormat="1" x14ac:dyDescent="0.25">
      <c r="A274" s="160"/>
      <c r="B274" s="160"/>
      <c r="C274" s="160"/>
      <c r="D274" s="160"/>
      <c r="E274" s="160"/>
      <c r="F274" s="160"/>
      <c r="G274" s="160"/>
    </row>
    <row r="275" spans="1:7" s="97" customFormat="1" x14ac:dyDescent="0.25">
      <c r="A275" s="160"/>
      <c r="B275" s="160"/>
      <c r="C275" s="160"/>
      <c r="D275" s="160"/>
      <c r="E275" s="160"/>
      <c r="F275" s="160"/>
      <c r="G275" s="160"/>
    </row>
    <row r="276" spans="1:7" s="97" customFormat="1" x14ac:dyDescent="0.25">
      <c r="A276" s="160"/>
      <c r="B276" s="160"/>
      <c r="C276" s="160"/>
      <c r="D276" s="160"/>
      <c r="E276" s="160"/>
      <c r="F276" s="160"/>
      <c r="G276" s="160"/>
    </row>
    <row r="277" spans="1:7" s="97" customFormat="1" x14ac:dyDescent="0.25">
      <c r="A277" s="160"/>
      <c r="B277" s="160"/>
      <c r="C277" s="160"/>
      <c r="D277" s="160"/>
      <c r="E277" s="160"/>
      <c r="F277" s="160"/>
      <c r="G277" s="160"/>
    </row>
    <row r="278" spans="1:7" s="97" customFormat="1" x14ac:dyDescent="0.25">
      <c r="A278" s="160"/>
      <c r="B278" s="160"/>
      <c r="C278" s="160"/>
      <c r="D278" s="160"/>
      <c r="E278" s="160"/>
      <c r="F278" s="160"/>
      <c r="G278" s="160"/>
    </row>
    <row r="279" spans="1:7" s="97" customFormat="1" x14ac:dyDescent="0.25">
      <c r="A279" s="160"/>
      <c r="B279" s="160"/>
      <c r="C279" s="160"/>
      <c r="D279" s="160"/>
      <c r="E279" s="160"/>
      <c r="F279" s="160"/>
      <c r="G279" s="160"/>
    </row>
    <row r="280" spans="1:7" s="97" customFormat="1" x14ac:dyDescent="0.25">
      <c r="A280" s="160"/>
      <c r="B280" s="160"/>
      <c r="C280" s="160"/>
      <c r="D280" s="160"/>
      <c r="E280" s="160"/>
      <c r="F280" s="160"/>
      <c r="G280" s="160"/>
    </row>
    <row r="281" spans="1:7" s="97" customFormat="1" x14ac:dyDescent="0.25">
      <c r="A281" s="160"/>
      <c r="B281" s="160"/>
      <c r="C281" s="160"/>
      <c r="D281" s="160"/>
      <c r="E281" s="160"/>
      <c r="F281" s="160"/>
      <c r="G281" s="160"/>
    </row>
    <row r="282" spans="1:7" s="97" customFormat="1" x14ac:dyDescent="0.25">
      <c r="A282" s="160"/>
      <c r="B282" s="160"/>
      <c r="C282" s="160"/>
      <c r="D282" s="160"/>
      <c r="E282" s="160"/>
      <c r="F282" s="160"/>
      <c r="G282" s="160"/>
    </row>
    <row r="283" spans="1:7" s="97" customFormat="1" x14ac:dyDescent="0.25">
      <c r="A283" s="160"/>
      <c r="B283" s="160"/>
      <c r="C283" s="160"/>
      <c r="D283" s="160"/>
      <c r="E283" s="160"/>
      <c r="F283" s="160"/>
      <c r="G283" s="160"/>
    </row>
    <row r="284" spans="1:7" s="97" customFormat="1" x14ac:dyDescent="0.25">
      <c r="A284" s="160"/>
      <c r="B284" s="160"/>
      <c r="C284" s="160"/>
      <c r="D284" s="160"/>
      <c r="E284" s="160"/>
      <c r="F284" s="160"/>
      <c r="G284" s="160"/>
    </row>
    <row r="285" spans="1:7" s="97" customFormat="1" x14ac:dyDescent="0.25">
      <c r="A285" s="160"/>
      <c r="B285" s="160"/>
      <c r="C285" s="160"/>
      <c r="D285" s="160"/>
      <c r="E285" s="160"/>
      <c r="F285" s="160"/>
      <c r="G285" s="160"/>
    </row>
    <row r="286" spans="1:7" s="97" customFormat="1" x14ac:dyDescent="0.25">
      <c r="A286" s="160"/>
      <c r="B286" s="160"/>
      <c r="C286" s="160"/>
      <c r="D286" s="160"/>
      <c r="E286" s="160"/>
      <c r="F286" s="160"/>
      <c r="G286" s="160"/>
    </row>
    <row r="287" spans="1:7" s="97" customFormat="1" x14ac:dyDescent="0.25">
      <c r="A287" s="160"/>
      <c r="B287" s="160"/>
      <c r="C287" s="160"/>
      <c r="D287" s="160"/>
      <c r="E287" s="160"/>
      <c r="F287" s="160"/>
      <c r="G287" s="160"/>
    </row>
    <row r="288" spans="1:7" s="97" customFormat="1" x14ac:dyDescent="0.25">
      <c r="A288" s="160"/>
      <c r="B288" s="160"/>
      <c r="C288" s="160"/>
      <c r="D288" s="160"/>
      <c r="E288" s="160"/>
      <c r="F288" s="160"/>
      <c r="G288" s="160"/>
    </row>
    <row r="289" spans="1:7" s="97" customFormat="1" x14ac:dyDescent="0.25">
      <c r="A289" s="160"/>
      <c r="B289" s="160"/>
      <c r="C289" s="160"/>
      <c r="D289" s="160"/>
      <c r="E289" s="160"/>
      <c r="F289" s="160"/>
      <c r="G289" s="160"/>
    </row>
    <row r="290" spans="1:7" s="97" customFormat="1" x14ac:dyDescent="0.25">
      <c r="A290" s="160"/>
      <c r="B290" s="160"/>
      <c r="C290" s="160"/>
      <c r="D290" s="160"/>
      <c r="E290" s="160"/>
      <c r="F290" s="160"/>
      <c r="G290" s="160"/>
    </row>
    <row r="291" spans="1:7" s="97" customFormat="1" x14ac:dyDescent="0.25">
      <c r="A291" s="160"/>
      <c r="B291" s="160"/>
      <c r="C291" s="160"/>
      <c r="D291" s="160"/>
      <c r="E291" s="160"/>
      <c r="F291" s="160"/>
      <c r="G291" s="160"/>
    </row>
    <row r="292" spans="1:7" s="97" customFormat="1" x14ac:dyDescent="0.25">
      <c r="A292" s="160"/>
      <c r="B292" s="160"/>
      <c r="C292" s="160"/>
      <c r="D292" s="160"/>
      <c r="E292" s="160"/>
      <c r="F292" s="160"/>
      <c r="G292" s="160"/>
    </row>
    <row r="293" spans="1:7" s="97" customFormat="1" x14ac:dyDescent="0.25">
      <c r="A293" s="160"/>
      <c r="B293" s="160"/>
      <c r="C293" s="160"/>
      <c r="D293" s="160"/>
      <c r="E293" s="160"/>
      <c r="F293" s="160"/>
      <c r="G293" s="160"/>
    </row>
    <row r="294" spans="1:7" s="97" customFormat="1" x14ac:dyDescent="0.25">
      <c r="A294" s="160"/>
      <c r="B294" s="160"/>
      <c r="C294" s="160"/>
      <c r="D294" s="160"/>
      <c r="E294" s="160"/>
      <c r="F294" s="160"/>
      <c r="G294" s="160"/>
    </row>
    <row r="295" spans="1:7" s="97" customFormat="1" x14ac:dyDescent="0.25">
      <c r="A295" s="160"/>
      <c r="B295" s="160"/>
      <c r="C295" s="160"/>
      <c r="D295" s="160"/>
      <c r="E295" s="160"/>
      <c r="F295" s="160"/>
      <c r="G295" s="160"/>
    </row>
    <row r="296" spans="1:7" s="97" customFormat="1" x14ac:dyDescent="0.25">
      <c r="A296" s="160"/>
      <c r="B296" s="160"/>
      <c r="C296" s="160"/>
      <c r="D296" s="160"/>
      <c r="E296" s="160"/>
      <c r="F296" s="160"/>
      <c r="G296" s="160"/>
    </row>
    <row r="297" spans="1:7" s="97" customFormat="1" x14ac:dyDescent="0.25">
      <c r="A297" s="160"/>
      <c r="B297" s="160"/>
      <c r="C297" s="160"/>
      <c r="D297" s="160"/>
      <c r="E297" s="160"/>
      <c r="F297" s="160"/>
      <c r="G297" s="160"/>
    </row>
    <row r="298" spans="1:7" s="97" customFormat="1" x14ac:dyDescent="0.25">
      <c r="A298" s="160"/>
      <c r="B298" s="160"/>
      <c r="C298" s="160"/>
      <c r="D298" s="160"/>
      <c r="E298" s="160"/>
      <c r="F298" s="160"/>
      <c r="G298" s="160"/>
    </row>
    <row r="299" spans="1:7" s="97" customFormat="1" x14ac:dyDescent="0.25">
      <c r="A299" s="160"/>
      <c r="B299" s="160"/>
      <c r="C299" s="160"/>
      <c r="D299" s="160"/>
      <c r="E299" s="160"/>
      <c r="F299" s="160"/>
      <c r="G299" s="160"/>
    </row>
    <row r="300" spans="1:7" s="97" customFormat="1" x14ac:dyDescent="0.25">
      <c r="A300" s="160"/>
      <c r="B300" s="160"/>
      <c r="C300" s="160"/>
      <c r="D300" s="160"/>
      <c r="E300" s="160"/>
      <c r="F300" s="160"/>
      <c r="G300" s="160"/>
    </row>
    <row r="301" spans="1:7" s="97" customFormat="1" x14ac:dyDescent="0.25">
      <c r="A301" s="160"/>
      <c r="B301" s="160"/>
      <c r="C301" s="160"/>
      <c r="D301" s="160"/>
      <c r="E301" s="160"/>
      <c r="F301" s="160"/>
      <c r="G301" s="160"/>
    </row>
    <row r="302" spans="1:7" s="97" customFormat="1" x14ac:dyDescent="0.25">
      <c r="A302" s="160"/>
      <c r="B302" s="160"/>
      <c r="C302" s="160"/>
      <c r="D302" s="160"/>
      <c r="E302" s="160"/>
      <c r="F302" s="160"/>
      <c r="G302" s="160"/>
    </row>
    <row r="303" spans="1:7" s="97" customFormat="1" x14ac:dyDescent="0.25">
      <c r="A303" s="160"/>
      <c r="B303" s="160"/>
      <c r="C303" s="160"/>
      <c r="D303" s="160"/>
      <c r="E303" s="160"/>
      <c r="F303" s="160"/>
      <c r="G303" s="160"/>
    </row>
    <row r="304" spans="1:7" s="97" customFormat="1" x14ac:dyDescent="0.25">
      <c r="A304" s="160"/>
      <c r="B304" s="160"/>
      <c r="C304" s="160"/>
      <c r="D304" s="160"/>
      <c r="E304" s="160"/>
      <c r="F304" s="160"/>
      <c r="G304" s="160"/>
    </row>
    <row r="305" spans="1:7" s="97" customFormat="1" x14ac:dyDescent="0.25">
      <c r="A305" s="160"/>
      <c r="B305" s="160"/>
      <c r="C305" s="160"/>
      <c r="D305" s="160"/>
      <c r="E305" s="160"/>
      <c r="F305" s="160"/>
      <c r="G305" s="160"/>
    </row>
    <row r="306" spans="1:7" s="97" customFormat="1" x14ac:dyDescent="0.25">
      <c r="A306" s="160"/>
      <c r="B306" s="160"/>
      <c r="C306" s="160"/>
      <c r="D306" s="160"/>
      <c r="E306" s="160"/>
      <c r="F306" s="160"/>
      <c r="G306" s="160"/>
    </row>
    <row r="307" spans="1:7" s="97" customFormat="1" x14ac:dyDescent="0.25">
      <c r="A307" s="160"/>
      <c r="B307" s="160"/>
      <c r="C307" s="160"/>
      <c r="D307" s="160"/>
      <c r="E307" s="160"/>
      <c r="F307" s="160"/>
      <c r="G307" s="160"/>
    </row>
    <row r="308" spans="1:7" s="97" customFormat="1" x14ac:dyDescent="0.25">
      <c r="A308" s="160"/>
      <c r="B308" s="160"/>
      <c r="C308" s="160"/>
      <c r="D308" s="160"/>
      <c r="E308" s="160"/>
      <c r="F308" s="160"/>
      <c r="G308" s="160"/>
    </row>
    <row r="309" spans="1:7" s="97" customFormat="1" x14ac:dyDescent="0.25">
      <c r="A309" s="160"/>
      <c r="B309" s="160"/>
      <c r="C309" s="160"/>
      <c r="D309" s="160"/>
      <c r="E309" s="160"/>
      <c r="F309" s="160"/>
      <c r="G309" s="160"/>
    </row>
    <row r="310" spans="1:7" s="97" customFormat="1" x14ac:dyDescent="0.25">
      <c r="A310" s="160"/>
      <c r="B310" s="160"/>
      <c r="C310" s="160"/>
      <c r="D310" s="160"/>
      <c r="E310" s="160"/>
      <c r="F310" s="160"/>
      <c r="G310" s="160"/>
    </row>
    <row r="311" spans="1:7" s="97" customFormat="1" x14ac:dyDescent="0.25">
      <c r="A311" s="160"/>
      <c r="B311" s="160"/>
      <c r="C311" s="160"/>
      <c r="D311" s="160"/>
      <c r="E311" s="160"/>
      <c r="F311" s="160"/>
      <c r="G311" s="160"/>
    </row>
    <row r="312" spans="1:7" s="97" customFormat="1" x14ac:dyDescent="0.25">
      <c r="A312" s="160"/>
      <c r="B312" s="160"/>
      <c r="C312" s="160"/>
      <c r="D312" s="160"/>
      <c r="E312" s="160"/>
      <c r="F312" s="160"/>
      <c r="G312" s="160"/>
    </row>
    <row r="313" spans="1:7" s="97" customFormat="1" x14ac:dyDescent="0.25">
      <c r="A313" s="160"/>
      <c r="B313" s="160"/>
      <c r="C313" s="160"/>
      <c r="D313" s="160"/>
      <c r="E313" s="160"/>
      <c r="F313" s="160"/>
      <c r="G313" s="160"/>
    </row>
    <row r="314" spans="1:7" s="97" customFormat="1" x14ac:dyDescent="0.25">
      <c r="A314" s="160"/>
      <c r="B314" s="160"/>
      <c r="C314" s="160"/>
      <c r="D314" s="160"/>
      <c r="E314" s="160"/>
      <c r="F314" s="160"/>
      <c r="G314" s="160"/>
    </row>
    <row r="315" spans="1:7" s="97" customFormat="1" x14ac:dyDescent="0.25">
      <c r="A315" s="160"/>
      <c r="B315" s="160"/>
      <c r="C315" s="160"/>
      <c r="D315" s="160"/>
      <c r="E315" s="160"/>
      <c r="F315" s="160"/>
      <c r="G315" s="160"/>
    </row>
    <row r="316" spans="1:7" s="97" customFormat="1" x14ac:dyDescent="0.25">
      <c r="A316" s="160"/>
      <c r="B316" s="160"/>
      <c r="C316" s="160"/>
      <c r="D316" s="160"/>
      <c r="E316" s="160"/>
      <c r="F316" s="160"/>
      <c r="G316" s="160"/>
    </row>
    <row r="317" spans="1:7" s="97" customFormat="1" x14ac:dyDescent="0.25">
      <c r="A317" s="160"/>
      <c r="B317" s="160"/>
      <c r="C317" s="160"/>
      <c r="D317" s="160"/>
      <c r="E317" s="160"/>
      <c r="F317" s="160"/>
      <c r="G317" s="160"/>
    </row>
    <row r="318" spans="1:7" s="97" customFormat="1" x14ac:dyDescent="0.25">
      <c r="A318" s="160"/>
      <c r="B318" s="160"/>
      <c r="C318" s="160"/>
      <c r="D318" s="160"/>
      <c r="E318" s="160"/>
      <c r="F318" s="160"/>
      <c r="G318" s="160"/>
    </row>
    <row r="319" spans="1:7" s="97" customFormat="1" x14ac:dyDescent="0.25">
      <c r="A319" s="160"/>
      <c r="B319" s="160"/>
      <c r="C319" s="160"/>
      <c r="D319" s="160"/>
      <c r="E319" s="160"/>
      <c r="F319" s="160"/>
      <c r="G319" s="160"/>
    </row>
    <row r="320" spans="1:7" s="97" customFormat="1" x14ac:dyDescent="0.25">
      <c r="A320" s="160"/>
      <c r="B320" s="160"/>
      <c r="C320" s="160"/>
      <c r="D320" s="160"/>
      <c r="E320" s="160"/>
      <c r="F320" s="160"/>
      <c r="G320" s="160"/>
    </row>
    <row r="321" spans="1:7" s="97" customFormat="1" x14ac:dyDescent="0.25">
      <c r="A321" s="160"/>
      <c r="B321" s="160"/>
      <c r="C321" s="160"/>
      <c r="D321" s="160"/>
      <c r="E321" s="160"/>
      <c r="F321" s="160"/>
      <c r="G321" s="160"/>
    </row>
    <row r="322" spans="1:7" s="97" customFormat="1" x14ac:dyDescent="0.25">
      <c r="A322" s="160"/>
      <c r="B322" s="160"/>
      <c r="C322" s="160"/>
      <c r="D322" s="160"/>
      <c r="E322" s="160"/>
      <c r="F322" s="160"/>
      <c r="G322" s="160"/>
    </row>
    <row r="323" spans="1:7" s="97" customFormat="1" x14ac:dyDescent="0.25">
      <c r="A323" s="160"/>
      <c r="B323" s="160"/>
      <c r="C323" s="160"/>
      <c r="D323" s="160"/>
      <c r="E323" s="160"/>
      <c r="F323" s="160"/>
      <c r="G323" s="160"/>
    </row>
    <row r="324" spans="1:7" s="97" customFormat="1" x14ac:dyDescent="0.25">
      <c r="A324" s="160"/>
      <c r="B324" s="160"/>
      <c r="C324" s="160"/>
      <c r="D324" s="160"/>
      <c r="E324" s="160"/>
      <c r="F324" s="160"/>
      <c r="G324" s="160"/>
    </row>
    <row r="325" spans="1:7" s="97" customFormat="1" x14ac:dyDescent="0.25">
      <c r="A325" s="160"/>
      <c r="B325" s="160"/>
      <c r="C325" s="160"/>
      <c r="D325" s="160"/>
      <c r="E325" s="160"/>
      <c r="F325" s="160"/>
      <c r="G325" s="160"/>
    </row>
    <row r="326" spans="1:7" s="97" customFormat="1" x14ac:dyDescent="0.25">
      <c r="A326" s="160"/>
      <c r="B326" s="160"/>
      <c r="C326" s="160"/>
      <c r="D326" s="160"/>
      <c r="E326" s="160"/>
      <c r="F326" s="160"/>
      <c r="G326" s="160"/>
    </row>
    <row r="327" spans="1:7" s="97" customFormat="1" x14ac:dyDescent="0.25">
      <c r="A327" s="160"/>
      <c r="B327" s="160"/>
      <c r="C327" s="160"/>
      <c r="D327" s="160"/>
      <c r="E327" s="160"/>
      <c r="F327" s="160"/>
      <c r="G327" s="160"/>
    </row>
    <row r="328" spans="1:7" s="97" customFormat="1" x14ac:dyDescent="0.25">
      <c r="A328" s="160"/>
      <c r="B328" s="160"/>
      <c r="C328" s="160"/>
      <c r="D328" s="160"/>
      <c r="E328" s="160"/>
      <c r="F328" s="160"/>
      <c r="G328" s="160"/>
    </row>
    <row r="329" spans="1:7" s="97" customFormat="1" x14ac:dyDescent="0.25">
      <c r="A329" s="160"/>
      <c r="B329" s="160"/>
      <c r="C329" s="160"/>
      <c r="D329" s="160"/>
      <c r="E329" s="160"/>
      <c r="F329" s="160"/>
      <c r="G329" s="160"/>
    </row>
    <row r="330" spans="1:7" s="97" customFormat="1" x14ac:dyDescent="0.25">
      <c r="A330" s="160"/>
      <c r="B330" s="160"/>
      <c r="C330" s="160"/>
      <c r="D330" s="160"/>
      <c r="E330" s="160"/>
      <c r="F330" s="160"/>
      <c r="G330" s="160"/>
    </row>
    <row r="331" spans="1:7" s="97" customFormat="1" x14ac:dyDescent="0.25">
      <c r="A331" s="160"/>
      <c r="B331" s="160"/>
      <c r="C331" s="160"/>
      <c r="D331" s="160"/>
      <c r="E331" s="160"/>
      <c r="F331" s="160"/>
      <c r="G331" s="160"/>
    </row>
    <row r="332" spans="1:7" s="97" customFormat="1" x14ac:dyDescent="0.25">
      <c r="A332" s="160"/>
      <c r="B332" s="160"/>
      <c r="C332" s="160"/>
      <c r="D332" s="160"/>
      <c r="E332" s="160"/>
      <c r="F332" s="160"/>
      <c r="G332" s="160"/>
    </row>
    <row r="333" spans="1:7" s="97" customFormat="1" x14ac:dyDescent="0.25">
      <c r="A333" s="160"/>
      <c r="B333" s="160"/>
      <c r="C333" s="160"/>
      <c r="D333" s="160"/>
      <c r="E333" s="160"/>
      <c r="F333" s="160"/>
      <c r="G333" s="160"/>
    </row>
    <row r="334" spans="1:7" s="97" customFormat="1" x14ac:dyDescent="0.25">
      <c r="A334" s="160"/>
      <c r="B334" s="160"/>
      <c r="C334" s="160"/>
      <c r="D334" s="160"/>
      <c r="E334" s="160"/>
      <c r="F334" s="160"/>
      <c r="G334" s="160"/>
    </row>
    <row r="335" spans="1:7" s="97" customFormat="1" x14ac:dyDescent="0.25">
      <c r="A335" s="160"/>
      <c r="B335" s="160"/>
      <c r="C335" s="160"/>
      <c r="D335" s="160"/>
      <c r="E335" s="160"/>
      <c r="F335" s="160"/>
      <c r="G335" s="160"/>
    </row>
    <row r="336" spans="1:7" s="97" customFormat="1" x14ac:dyDescent="0.25">
      <c r="A336" s="160"/>
      <c r="B336" s="160"/>
      <c r="C336" s="160"/>
      <c r="D336" s="160"/>
      <c r="E336" s="160"/>
      <c r="F336" s="160"/>
      <c r="G336" s="160"/>
    </row>
    <row r="337" spans="1:7" s="97" customFormat="1" x14ac:dyDescent="0.25">
      <c r="A337" s="160"/>
      <c r="B337" s="160"/>
      <c r="C337" s="160"/>
      <c r="D337" s="160"/>
      <c r="E337" s="160"/>
      <c r="F337" s="160"/>
      <c r="G337" s="160"/>
    </row>
    <row r="338" spans="1:7" s="97" customFormat="1" x14ac:dyDescent="0.25">
      <c r="A338" s="160"/>
      <c r="B338" s="160"/>
      <c r="C338" s="160"/>
      <c r="D338" s="160"/>
      <c r="E338" s="160"/>
      <c r="F338" s="160"/>
      <c r="G338" s="160"/>
    </row>
    <row r="339" spans="1:7" s="97" customFormat="1" x14ac:dyDescent="0.25">
      <c r="A339" s="160"/>
      <c r="B339" s="160"/>
      <c r="C339" s="160"/>
      <c r="D339" s="160"/>
      <c r="E339" s="160"/>
      <c r="F339" s="160"/>
      <c r="G339" s="160"/>
    </row>
    <row r="340" spans="1:7" s="97" customFormat="1" x14ac:dyDescent="0.25">
      <c r="A340" s="160"/>
      <c r="B340" s="160"/>
      <c r="C340" s="160"/>
      <c r="D340" s="160"/>
      <c r="E340" s="160"/>
      <c r="F340" s="160"/>
      <c r="G340" s="160"/>
    </row>
    <row r="341" spans="1:7" s="97" customFormat="1" x14ac:dyDescent="0.25">
      <c r="A341" s="160"/>
      <c r="B341" s="160"/>
      <c r="C341" s="160"/>
      <c r="D341" s="160"/>
      <c r="E341" s="160"/>
      <c r="F341" s="160"/>
      <c r="G341" s="160"/>
    </row>
    <row r="342" spans="1:7" s="97" customFormat="1" x14ac:dyDescent="0.25">
      <c r="A342" s="160"/>
      <c r="B342" s="160"/>
      <c r="C342" s="160"/>
      <c r="D342" s="160"/>
      <c r="E342" s="160"/>
      <c r="F342" s="160"/>
      <c r="G342" s="160"/>
    </row>
    <row r="343" spans="1:7" s="97" customFormat="1" x14ac:dyDescent="0.25">
      <c r="A343" s="160"/>
      <c r="B343" s="160"/>
      <c r="C343" s="160"/>
      <c r="D343" s="160"/>
      <c r="E343" s="160"/>
      <c r="F343" s="160"/>
      <c r="G343" s="160"/>
    </row>
    <row r="344" spans="1:7" s="97" customFormat="1" x14ac:dyDescent="0.25">
      <c r="A344" s="160"/>
      <c r="B344" s="160"/>
      <c r="C344" s="160"/>
      <c r="D344" s="160"/>
      <c r="E344" s="160"/>
      <c r="F344" s="160"/>
      <c r="G344" s="160"/>
    </row>
    <row r="345" spans="1:7" s="97" customFormat="1" x14ac:dyDescent="0.25">
      <c r="A345" s="160"/>
      <c r="B345" s="160"/>
      <c r="C345" s="160"/>
      <c r="D345" s="160"/>
      <c r="E345" s="160"/>
      <c r="F345" s="160"/>
      <c r="G345" s="160"/>
    </row>
    <row r="346" spans="1:7" s="97" customFormat="1" x14ac:dyDescent="0.25">
      <c r="A346" s="160"/>
      <c r="B346" s="160"/>
      <c r="C346" s="160"/>
      <c r="D346" s="160"/>
      <c r="E346" s="160"/>
      <c r="F346" s="160"/>
      <c r="G346" s="160"/>
    </row>
    <row r="347" spans="1:7" s="97" customFormat="1" x14ac:dyDescent="0.25">
      <c r="A347" s="160"/>
      <c r="B347" s="160"/>
      <c r="C347" s="160"/>
      <c r="D347" s="160"/>
      <c r="E347" s="160"/>
      <c r="F347" s="160"/>
      <c r="G347" s="160"/>
    </row>
    <row r="348" spans="1:7" s="97" customFormat="1" x14ac:dyDescent="0.25">
      <c r="A348" s="160"/>
      <c r="B348" s="160"/>
      <c r="C348" s="160"/>
      <c r="D348" s="160"/>
      <c r="E348" s="160"/>
      <c r="F348" s="160"/>
      <c r="G348" s="160"/>
    </row>
    <row r="349" spans="1:7" s="97" customFormat="1" x14ac:dyDescent="0.25">
      <c r="A349" s="160"/>
      <c r="B349" s="160"/>
      <c r="C349" s="160"/>
      <c r="D349" s="160"/>
      <c r="E349" s="160"/>
      <c r="F349" s="160"/>
      <c r="G349" s="160"/>
    </row>
    <row r="350" spans="1:7" s="97" customFormat="1" x14ac:dyDescent="0.25">
      <c r="A350" s="160"/>
      <c r="B350" s="160"/>
      <c r="C350" s="160"/>
      <c r="D350" s="160"/>
      <c r="E350" s="160"/>
      <c r="F350" s="160"/>
      <c r="G350" s="160"/>
    </row>
    <row r="351" spans="1:7" s="97" customFormat="1" x14ac:dyDescent="0.25">
      <c r="A351" s="160"/>
      <c r="B351" s="160"/>
      <c r="C351" s="160"/>
      <c r="D351" s="160"/>
      <c r="E351" s="160"/>
      <c r="F351" s="160"/>
      <c r="G351" s="160"/>
    </row>
    <row r="352" spans="1:7" s="97" customFormat="1" x14ac:dyDescent="0.25">
      <c r="A352" s="160"/>
      <c r="B352" s="160"/>
      <c r="C352" s="160"/>
      <c r="D352" s="160"/>
      <c r="E352" s="160"/>
      <c r="F352" s="160"/>
      <c r="G352" s="160"/>
    </row>
    <row r="353" spans="1:7" s="97" customFormat="1" x14ac:dyDescent="0.25">
      <c r="A353" s="160"/>
      <c r="B353" s="160"/>
      <c r="C353" s="160"/>
      <c r="D353" s="160"/>
      <c r="E353" s="160"/>
      <c r="F353" s="160"/>
      <c r="G353" s="160"/>
    </row>
    <row r="354" spans="1:7" s="97" customFormat="1" x14ac:dyDescent="0.25">
      <c r="A354" s="160"/>
      <c r="B354" s="160"/>
      <c r="C354" s="160"/>
      <c r="D354" s="160"/>
      <c r="E354" s="160"/>
      <c r="F354" s="160"/>
      <c r="G354" s="160"/>
    </row>
    <row r="355" spans="1:7" s="97" customFormat="1" x14ac:dyDescent="0.25">
      <c r="A355" s="160"/>
      <c r="B355" s="160"/>
      <c r="C355" s="160"/>
      <c r="D355" s="160"/>
      <c r="E355" s="160"/>
      <c r="F355" s="160"/>
      <c r="G355" s="160"/>
    </row>
    <row r="356" spans="1:7" s="97" customFormat="1" x14ac:dyDescent="0.25">
      <c r="A356" s="160"/>
      <c r="B356" s="160"/>
      <c r="C356" s="160"/>
      <c r="D356" s="160"/>
      <c r="E356" s="160"/>
      <c r="F356" s="160"/>
      <c r="G356" s="160"/>
    </row>
    <row r="357" spans="1:7" x14ac:dyDescent="0.25">
      <c r="A357" s="160"/>
      <c r="B357" s="160"/>
      <c r="C357" s="160"/>
      <c r="D357" s="160"/>
      <c r="E357" s="160"/>
      <c r="F357" s="160"/>
      <c r="G357" s="160"/>
    </row>
    <row r="358" spans="1:7" x14ac:dyDescent="0.25">
      <c r="A358" s="160"/>
      <c r="B358" s="160"/>
      <c r="C358" s="160"/>
      <c r="D358" s="160"/>
      <c r="E358" s="160"/>
      <c r="F358" s="160"/>
      <c r="G358" s="160"/>
    </row>
    <row r="359" spans="1:7" x14ac:dyDescent="0.25">
      <c r="A359" s="160"/>
      <c r="B359" s="160"/>
      <c r="C359" s="160"/>
      <c r="D359" s="160"/>
      <c r="E359" s="160"/>
      <c r="F359" s="160"/>
      <c r="G359" s="160"/>
    </row>
    <row r="360" spans="1:7" x14ac:dyDescent="0.25">
      <c r="A360" s="160"/>
      <c r="B360" s="160"/>
      <c r="C360" s="160"/>
      <c r="D360" s="160"/>
      <c r="E360" s="160"/>
      <c r="F360" s="160"/>
      <c r="G360" s="160"/>
    </row>
    <row r="361" spans="1:7" x14ac:dyDescent="0.25">
      <c r="A361" s="160"/>
      <c r="B361" s="160"/>
      <c r="C361" s="160"/>
      <c r="D361" s="160"/>
      <c r="E361" s="160"/>
      <c r="F361" s="160"/>
      <c r="G361" s="160"/>
    </row>
    <row r="362" spans="1:7" x14ac:dyDescent="0.25">
      <c r="A362" s="160"/>
      <c r="B362" s="160"/>
      <c r="C362" s="160"/>
      <c r="D362" s="160"/>
      <c r="E362" s="160"/>
      <c r="F362" s="160"/>
      <c r="G362" s="160"/>
    </row>
    <row r="363" spans="1:7" x14ac:dyDescent="0.25">
      <c r="A363" s="160"/>
      <c r="B363" s="160"/>
      <c r="C363" s="160"/>
      <c r="D363" s="160"/>
      <c r="E363" s="160"/>
      <c r="F363" s="160"/>
      <c r="G363" s="160"/>
    </row>
    <row r="364" spans="1:7" x14ac:dyDescent="0.25">
      <c r="A364" s="160"/>
      <c r="B364" s="160"/>
      <c r="C364" s="160"/>
      <c r="D364" s="160"/>
      <c r="E364" s="160"/>
      <c r="F364" s="160"/>
      <c r="G364" s="160"/>
    </row>
    <row r="365" spans="1:7" x14ac:dyDescent="0.25">
      <c r="A365" s="160"/>
      <c r="B365" s="160"/>
      <c r="C365" s="160"/>
      <c r="D365" s="160"/>
      <c r="E365" s="160"/>
      <c r="F365" s="160"/>
      <c r="G365" s="160"/>
    </row>
    <row r="366" spans="1:7" x14ac:dyDescent="0.25">
      <c r="A366" s="160"/>
      <c r="B366" s="160"/>
      <c r="C366" s="160"/>
      <c r="D366" s="160"/>
      <c r="E366" s="160"/>
      <c r="F366" s="160"/>
      <c r="G366" s="160"/>
    </row>
    <row r="367" spans="1:7" x14ac:dyDescent="0.25">
      <c r="A367" s="160"/>
      <c r="B367" s="160"/>
      <c r="C367" s="160"/>
      <c r="D367" s="160"/>
      <c r="E367" s="160"/>
      <c r="F367" s="160"/>
      <c r="G367" s="160"/>
    </row>
    <row r="368" spans="1:7" x14ac:dyDescent="0.25">
      <c r="A368" s="160"/>
      <c r="B368" s="160"/>
      <c r="C368" s="160"/>
      <c r="D368" s="160"/>
      <c r="E368" s="160"/>
      <c r="F368" s="160"/>
      <c r="G368" s="160"/>
    </row>
    <row r="369" spans="1:7" x14ac:dyDescent="0.25">
      <c r="A369" s="160"/>
      <c r="B369" s="160"/>
      <c r="C369" s="160"/>
      <c r="D369" s="160"/>
      <c r="E369" s="160"/>
      <c r="F369" s="160"/>
      <c r="G369" s="160"/>
    </row>
    <row r="370" spans="1:7" x14ac:dyDescent="0.25">
      <c r="A370" s="160"/>
      <c r="B370" s="160"/>
      <c r="C370" s="160"/>
      <c r="D370" s="160"/>
      <c r="E370" s="160"/>
      <c r="F370" s="160"/>
      <c r="G370" s="160"/>
    </row>
    <row r="371" spans="1:7" x14ac:dyDescent="0.25">
      <c r="A371" s="160"/>
      <c r="B371" s="160"/>
      <c r="C371" s="160"/>
      <c r="D371" s="160"/>
      <c r="E371" s="160"/>
      <c r="F371" s="160"/>
      <c r="G371" s="160"/>
    </row>
    <row r="372" spans="1:7" x14ac:dyDescent="0.25">
      <c r="A372" s="160"/>
      <c r="B372" s="160"/>
      <c r="C372" s="160"/>
      <c r="D372" s="160"/>
      <c r="E372" s="160"/>
      <c r="F372" s="160"/>
      <c r="G372" s="160"/>
    </row>
    <row r="373" spans="1:7" x14ac:dyDescent="0.25">
      <c r="A373" s="160"/>
      <c r="B373" s="160"/>
      <c r="C373" s="160"/>
      <c r="D373" s="160"/>
      <c r="E373" s="160"/>
      <c r="F373" s="160"/>
      <c r="G373" s="160"/>
    </row>
    <row r="374" spans="1:7" x14ac:dyDescent="0.25">
      <c r="A374" s="160"/>
      <c r="B374" s="160"/>
      <c r="C374" s="160"/>
      <c r="D374" s="160"/>
      <c r="E374" s="160"/>
      <c r="F374" s="160"/>
      <c r="G374" s="160"/>
    </row>
    <row r="375" spans="1:7" x14ac:dyDescent="0.25">
      <c r="A375" s="160"/>
      <c r="B375" s="160"/>
      <c r="C375" s="160"/>
      <c r="D375" s="160"/>
      <c r="E375" s="160"/>
      <c r="F375" s="160"/>
      <c r="G375" s="160"/>
    </row>
    <row r="376" spans="1:7" x14ac:dyDescent="0.25">
      <c r="A376" s="160"/>
      <c r="B376" s="160"/>
      <c r="C376" s="160"/>
      <c r="D376" s="160"/>
      <c r="E376" s="160"/>
      <c r="F376" s="160"/>
      <c r="G376" s="160"/>
    </row>
    <row r="377" spans="1:7" x14ac:dyDescent="0.25">
      <c r="A377" s="160"/>
      <c r="B377" s="160"/>
      <c r="C377" s="160"/>
      <c r="D377" s="160"/>
      <c r="E377" s="160"/>
      <c r="F377" s="160"/>
      <c r="G377" s="160"/>
    </row>
    <row r="378" spans="1:7" x14ac:dyDescent="0.25">
      <c r="A378" s="160"/>
      <c r="B378" s="160"/>
      <c r="C378" s="160"/>
      <c r="D378" s="160"/>
      <c r="E378" s="160"/>
      <c r="F378" s="160"/>
      <c r="G378" s="160"/>
    </row>
    <row r="379" spans="1:7" x14ac:dyDescent="0.25">
      <c r="A379" s="160"/>
      <c r="B379" s="160"/>
      <c r="C379" s="160"/>
      <c r="D379" s="160"/>
      <c r="E379" s="160"/>
      <c r="F379" s="160"/>
      <c r="G379" s="160"/>
    </row>
    <row r="380" spans="1:7" x14ac:dyDescent="0.25">
      <c r="A380" s="160"/>
      <c r="B380" s="160"/>
      <c r="C380" s="160"/>
      <c r="D380" s="160"/>
      <c r="E380" s="160"/>
      <c r="F380" s="160"/>
      <c r="G380" s="160"/>
    </row>
    <row r="381" spans="1:7" x14ac:dyDescent="0.25">
      <c r="A381" s="160"/>
      <c r="B381" s="160"/>
      <c r="C381" s="160"/>
      <c r="D381" s="160"/>
      <c r="E381" s="160"/>
      <c r="F381" s="160"/>
      <c r="G381" s="160"/>
    </row>
    <row r="382" spans="1:7" x14ac:dyDescent="0.25">
      <c r="A382" s="160"/>
      <c r="B382" s="160"/>
      <c r="C382" s="160"/>
      <c r="D382" s="160"/>
      <c r="E382" s="160"/>
      <c r="F382" s="160"/>
      <c r="G382" s="160"/>
    </row>
    <row r="383" spans="1:7" x14ac:dyDescent="0.25">
      <c r="A383" s="160"/>
      <c r="B383" s="160"/>
      <c r="C383" s="160"/>
      <c r="D383" s="160"/>
      <c r="E383" s="160"/>
      <c r="F383" s="160"/>
      <c r="G383" s="160"/>
    </row>
    <row r="384" spans="1:7" x14ac:dyDescent="0.25">
      <c r="A384" s="160"/>
      <c r="B384" s="160"/>
      <c r="C384" s="160"/>
      <c r="D384" s="160"/>
      <c r="E384" s="160"/>
      <c r="F384" s="160"/>
      <c r="G384" s="160"/>
    </row>
    <row r="385" spans="1:7" x14ac:dyDescent="0.25">
      <c r="A385" s="160"/>
      <c r="B385" s="160"/>
      <c r="C385" s="160"/>
      <c r="D385" s="160"/>
      <c r="E385" s="160"/>
      <c r="F385" s="160"/>
      <c r="G385" s="160"/>
    </row>
    <row r="386" spans="1:7" x14ac:dyDescent="0.25">
      <c r="A386" s="160"/>
      <c r="B386" s="160"/>
      <c r="C386" s="160"/>
      <c r="D386" s="160"/>
      <c r="E386" s="160"/>
      <c r="F386" s="160"/>
      <c r="G386" s="160"/>
    </row>
    <row r="387" spans="1:7" x14ac:dyDescent="0.25">
      <c r="A387" s="160"/>
      <c r="B387" s="160"/>
      <c r="C387" s="160"/>
      <c r="D387" s="160"/>
      <c r="E387" s="160"/>
      <c r="F387" s="160"/>
      <c r="G387" s="160"/>
    </row>
    <row r="388" spans="1:7" x14ac:dyDescent="0.25">
      <c r="A388" s="160"/>
      <c r="B388" s="160"/>
      <c r="C388" s="160"/>
      <c r="D388" s="160"/>
      <c r="E388" s="160"/>
      <c r="F388" s="160"/>
      <c r="G388" s="160"/>
    </row>
    <row r="389" spans="1:7" x14ac:dyDescent="0.25">
      <c r="A389" s="160"/>
      <c r="B389" s="160"/>
      <c r="C389" s="160"/>
      <c r="D389" s="160"/>
      <c r="E389" s="160"/>
      <c r="F389" s="160"/>
      <c r="G389" s="160"/>
    </row>
    <row r="390" spans="1:7" x14ac:dyDescent="0.25">
      <c r="A390" s="160"/>
      <c r="B390" s="160"/>
      <c r="C390" s="160"/>
      <c r="D390" s="160"/>
      <c r="E390" s="160"/>
      <c r="F390" s="160"/>
      <c r="G390" s="160"/>
    </row>
    <row r="391" spans="1:7" x14ac:dyDescent="0.25">
      <c r="A391" s="160"/>
      <c r="B391" s="160"/>
      <c r="C391" s="160"/>
      <c r="D391" s="160"/>
      <c r="E391" s="160"/>
      <c r="F391" s="160"/>
      <c r="G391" s="160"/>
    </row>
    <row r="392" spans="1:7" x14ac:dyDescent="0.25">
      <c r="A392" s="160"/>
      <c r="B392" s="160"/>
      <c r="C392" s="160"/>
      <c r="D392" s="160"/>
      <c r="E392" s="160"/>
      <c r="F392" s="160"/>
      <c r="G392" s="160"/>
    </row>
    <row r="393" spans="1:7" x14ac:dyDescent="0.25">
      <c r="A393" s="160"/>
      <c r="B393" s="160"/>
      <c r="C393" s="160"/>
      <c r="D393" s="160"/>
      <c r="E393" s="160"/>
      <c r="F393" s="160"/>
      <c r="G393" s="160"/>
    </row>
    <row r="394" spans="1:7" x14ac:dyDescent="0.25">
      <c r="A394" s="160"/>
      <c r="B394" s="160"/>
      <c r="C394" s="160"/>
      <c r="D394" s="160"/>
      <c r="E394" s="160"/>
      <c r="F394" s="160"/>
      <c r="G394" s="160"/>
    </row>
    <row r="395" spans="1:7" x14ac:dyDescent="0.25">
      <c r="A395" s="160"/>
      <c r="B395" s="160"/>
      <c r="C395" s="160"/>
      <c r="D395" s="160"/>
      <c r="E395" s="160"/>
      <c r="F395" s="160"/>
      <c r="G395" s="160"/>
    </row>
    <row r="396" spans="1:7" x14ac:dyDescent="0.25">
      <c r="A396" s="160"/>
      <c r="B396" s="160"/>
      <c r="C396" s="160"/>
      <c r="D396" s="160"/>
      <c r="E396" s="160"/>
      <c r="F396" s="160"/>
      <c r="G396" s="160"/>
    </row>
    <row r="397" spans="1:7" x14ac:dyDescent="0.25">
      <c r="A397" s="160"/>
      <c r="B397" s="160"/>
      <c r="C397" s="160"/>
      <c r="D397" s="160"/>
      <c r="E397" s="160"/>
      <c r="F397" s="160"/>
      <c r="G397" s="160"/>
    </row>
    <row r="398" spans="1:7" x14ac:dyDescent="0.25">
      <c r="A398" s="160"/>
      <c r="B398" s="160"/>
      <c r="C398" s="160"/>
      <c r="D398" s="160"/>
      <c r="E398" s="160"/>
      <c r="F398" s="160"/>
      <c r="G398" s="160"/>
    </row>
    <row r="399" spans="1:7" x14ac:dyDescent="0.25">
      <c r="A399" s="160"/>
      <c r="B399" s="160"/>
      <c r="C399" s="160"/>
      <c r="D399" s="160"/>
      <c r="E399" s="160"/>
      <c r="F399" s="160"/>
      <c r="G399" s="160"/>
    </row>
    <row r="400" spans="1:7" x14ac:dyDescent="0.25">
      <c r="A400" s="160"/>
      <c r="B400" s="160"/>
      <c r="C400" s="160"/>
      <c r="D400" s="160"/>
      <c r="E400" s="160"/>
      <c r="F400" s="160"/>
      <c r="G400" s="160"/>
    </row>
    <row r="401" spans="1:7" x14ac:dyDescent="0.25">
      <c r="A401" s="160"/>
      <c r="B401" s="160"/>
      <c r="C401" s="160"/>
      <c r="D401" s="160"/>
      <c r="E401" s="160"/>
      <c r="F401" s="160"/>
      <c r="G401" s="160"/>
    </row>
    <row r="402" spans="1:7" x14ac:dyDescent="0.25">
      <c r="A402" s="160"/>
      <c r="B402" s="160"/>
      <c r="C402" s="160"/>
      <c r="D402" s="160"/>
      <c r="E402" s="160"/>
      <c r="F402" s="160"/>
      <c r="G402" s="160"/>
    </row>
    <row r="403" spans="1:7" x14ac:dyDescent="0.25">
      <c r="A403" s="160"/>
      <c r="B403" s="160"/>
      <c r="C403" s="160"/>
      <c r="D403" s="160"/>
      <c r="E403" s="160"/>
      <c r="F403" s="160"/>
      <c r="G403" s="160"/>
    </row>
    <row r="404" spans="1:7" x14ac:dyDescent="0.25">
      <c r="A404" s="160"/>
      <c r="B404" s="160"/>
      <c r="C404" s="160"/>
      <c r="D404" s="160"/>
      <c r="E404" s="160"/>
      <c r="F404" s="160"/>
      <c r="G404" s="160"/>
    </row>
    <row r="405" spans="1:7" x14ac:dyDescent="0.25">
      <c r="A405" s="160"/>
      <c r="B405" s="160"/>
      <c r="C405" s="160"/>
      <c r="D405" s="160"/>
      <c r="E405" s="160"/>
      <c r="F405" s="160"/>
      <c r="G405" s="160"/>
    </row>
    <row r="406" spans="1:7" x14ac:dyDescent="0.25">
      <c r="A406" s="160"/>
      <c r="B406" s="160"/>
      <c r="C406" s="160"/>
      <c r="D406" s="160"/>
      <c r="E406" s="160"/>
      <c r="F406" s="160"/>
      <c r="G406" s="160"/>
    </row>
    <row r="407" spans="1:7" x14ac:dyDescent="0.25">
      <c r="A407" s="160"/>
      <c r="B407" s="160"/>
      <c r="C407" s="160"/>
      <c r="D407" s="160"/>
      <c r="E407" s="160"/>
      <c r="F407" s="160"/>
      <c r="G407" s="160"/>
    </row>
    <row r="408" spans="1:7" x14ac:dyDescent="0.25">
      <c r="A408" s="160"/>
      <c r="B408" s="160"/>
      <c r="C408" s="160"/>
      <c r="D408" s="160"/>
      <c r="E408" s="160"/>
      <c r="F408" s="160"/>
      <c r="G408" s="160"/>
    </row>
    <row r="409" spans="1:7" x14ac:dyDescent="0.25">
      <c r="A409" s="160"/>
      <c r="B409" s="160"/>
      <c r="C409" s="160"/>
      <c r="D409" s="160"/>
      <c r="E409" s="160"/>
      <c r="F409" s="160"/>
      <c r="G409" s="160"/>
    </row>
    <row r="410" spans="1:7" x14ac:dyDescent="0.25">
      <c r="A410" s="160"/>
      <c r="B410" s="160"/>
      <c r="C410" s="160"/>
      <c r="D410" s="160"/>
      <c r="E410" s="160"/>
      <c r="F410" s="160"/>
      <c r="G410" s="160"/>
    </row>
    <row r="411" spans="1:7" x14ac:dyDescent="0.25">
      <c r="A411" s="160"/>
      <c r="B411" s="160"/>
      <c r="C411" s="160"/>
      <c r="D411" s="160"/>
      <c r="E411" s="160"/>
      <c r="F411" s="160"/>
      <c r="G411" s="160"/>
    </row>
    <row r="412" spans="1:7" x14ac:dyDescent="0.25">
      <c r="A412" s="160"/>
      <c r="B412" s="160"/>
      <c r="C412" s="160"/>
      <c r="D412" s="160"/>
      <c r="E412" s="160"/>
      <c r="F412" s="160"/>
      <c r="G412" s="160"/>
    </row>
    <row r="413" spans="1:7" x14ac:dyDescent="0.25">
      <c r="A413" s="160"/>
      <c r="B413" s="160"/>
      <c r="C413" s="160"/>
      <c r="D413" s="160"/>
      <c r="E413" s="160"/>
      <c r="F413" s="160"/>
      <c r="G413" s="160"/>
    </row>
    <row r="414" spans="1:7" x14ac:dyDescent="0.25">
      <c r="A414" s="160"/>
      <c r="B414" s="160"/>
      <c r="C414" s="160"/>
      <c r="D414" s="160"/>
      <c r="E414" s="160"/>
      <c r="F414" s="160"/>
      <c r="G414" s="160"/>
    </row>
    <row r="415" spans="1:7" x14ac:dyDescent="0.25">
      <c r="A415" s="160"/>
      <c r="B415" s="160"/>
      <c r="C415" s="160"/>
      <c r="D415" s="160"/>
      <c r="E415" s="160"/>
      <c r="F415" s="160"/>
      <c r="G415" s="160"/>
    </row>
    <row r="416" spans="1:7" x14ac:dyDescent="0.25">
      <c r="A416" s="160"/>
      <c r="B416" s="160"/>
      <c r="C416" s="160"/>
      <c r="D416" s="160"/>
      <c r="E416" s="160"/>
      <c r="F416" s="160"/>
      <c r="G416" s="160"/>
    </row>
    <row r="417" spans="1:7" x14ac:dyDescent="0.25">
      <c r="A417" s="160"/>
      <c r="B417" s="160"/>
      <c r="C417" s="160"/>
      <c r="D417" s="160"/>
      <c r="E417" s="160"/>
      <c r="F417" s="160"/>
      <c r="G417" s="160"/>
    </row>
    <row r="418" spans="1:7" x14ac:dyDescent="0.25">
      <c r="A418" s="160"/>
      <c r="B418" s="160"/>
      <c r="C418" s="160"/>
      <c r="D418" s="160"/>
      <c r="E418" s="160"/>
      <c r="F418" s="160"/>
      <c r="G418" s="160"/>
    </row>
    <row r="419" spans="1:7" x14ac:dyDescent="0.25">
      <c r="A419" s="160"/>
      <c r="B419" s="160"/>
      <c r="C419" s="160"/>
      <c r="D419" s="160"/>
      <c r="E419" s="160"/>
      <c r="F419" s="160"/>
      <c r="G419" s="160"/>
    </row>
    <row r="420" spans="1:7" x14ac:dyDescent="0.25">
      <c r="A420" s="160"/>
      <c r="B420" s="160"/>
      <c r="C420" s="160"/>
      <c r="D420" s="160"/>
      <c r="E420" s="160"/>
      <c r="F420" s="160"/>
      <c r="G420" s="160"/>
    </row>
    <row r="421" spans="1:7" x14ac:dyDescent="0.25">
      <c r="A421" s="160"/>
      <c r="B421" s="160"/>
      <c r="C421" s="160"/>
      <c r="D421" s="160"/>
      <c r="E421" s="160"/>
      <c r="F421" s="160"/>
      <c r="G421" s="160"/>
    </row>
    <row r="422" spans="1:7" x14ac:dyDescent="0.25">
      <c r="A422" s="160"/>
      <c r="B422" s="160"/>
      <c r="C422" s="160"/>
      <c r="D422" s="160"/>
      <c r="E422" s="160"/>
      <c r="F422" s="160"/>
      <c r="G422" s="160"/>
    </row>
    <row r="423" spans="1:7" x14ac:dyDescent="0.25">
      <c r="A423" s="160"/>
      <c r="B423" s="160"/>
      <c r="C423" s="160"/>
      <c r="D423" s="160"/>
      <c r="E423" s="160"/>
      <c r="F423" s="160"/>
      <c r="G423" s="160"/>
    </row>
    <row r="424" spans="1:7" x14ac:dyDescent="0.25">
      <c r="A424" s="160"/>
      <c r="B424" s="160"/>
      <c r="C424" s="160"/>
      <c r="D424" s="160"/>
      <c r="E424" s="160"/>
      <c r="F424" s="160"/>
      <c r="G424" s="160"/>
    </row>
    <row r="425" spans="1:7" x14ac:dyDescent="0.25">
      <c r="A425" s="160"/>
      <c r="B425" s="160"/>
      <c r="C425" s="160"/>
      <c r="D425" s="160"/>
      <c r="E425" s="160"/>
      <c r="F425" s="160"/>
      <c r="G425" s="160"/>
    </row>
    <row r="426" spans="1:7" x14ac:dyDescent="0.25">
      <c r="A426" s="160"/>
      <c r="B426" s="160"/>
      <c r="C426" s="160"/>
      <c r="D426" s="160"/>
      <c r="E426" s="160"/>
      <c r="F426" s="160"/>
      <c r="G426" s="160"/>
    </row>
    <row r="427" spans="1:7" x14ac:dyDescent="0.25">
      <c r="A427" s="160"/>
      <c r="B427" s="160"/>
      <c r="C427" s="160"/>
      <c r="D427" s="160"/>
      <c r="E427" s="160"/>
      <c r="F427" s="160"/>
      <c r="G427" s="160"/>
    </row>
    <row r="428" spans="1:7" x14ac:dyDescent="0.25">
      <c r="A428" s="160"/>
      <c r="B428" s="160"/>
      <c r="C428" s="160"/>
      <c r="D428" s="160"/>
      <c r="E428" s="160"/>
      <c r="F428" s="160"/>
      <c r="G428" s="160"/>
    </row>
    <row r="429" spans="1:7" x14ac:dyDescent="0.25">
      <c r="A429" s="160"/>
      <c r="B429" s="160"/>
      <c r="C429" s="160"/>
      <c r="D429" s="160"/>
      <c r="E429" s="160"/>
      <c r="F429" s="160"/>
      <c r="G429" s="160"/>
    </row>
    <row r="430" spans="1:7" x14ac:dyDescent="0.25">
      <c r="A430" s="160"/>
      <c r="B430" s="160"/>
      <c r="C430" s="160"/>
      <c r="D430" s="160"/>
      <c r="E430" s="160"/>
      <c r="F430" s="160"/>
      <c r="G430" s="160"/>
    </row>
    <row r="431" spans="1:7" x14ac:dyDescent="0.25">
      <c r="A431" s="160"/>
      <c r="B431" s="160"/>
      <c r="C431" s="160"/>
      <c r="D431" s="160"/>
      <c r="E431" s="160"/>
      <c r="F431" s="160"/>
      <c r="G431" s="160"/>
    </row>
    <row r="432" spans="1:7" x14ac:dyDescent="0.25">
      <c r="A432" s="160"/>
      <c r="B432" s="160"/>
      <c r="C432" s="160"/>
      <c r="D432" s="160"/>
      <c r="E432" s="160"/>
      <c r="F432" s="160"/>
      <c r="G432" s="160"/>
    </row>
    <row r="433" spans="1:7" x14ac:dyDescent="0.25">
      <c r="A433" s="160"/>
      <c r="B433" s="160"/>
      <c r="C433" s="160"/>
      <c r="D433" s="160"/>
      <c r="E433" s="160"/>
      <c r="F433" s="160"/>
      <c r="G433" s="160"/>
    </row>
    <row r="434" spans="1:7" x14ac:dyDescent="0.25">
      <c r="A434" s="160"/>
      <c r="B434" s="160"/>
      <c r="C434" s="160"/>
      <c r="D434" s="160"/>
      <c r="E434" s="160"/>
      <c r="F434" s="160"/>
      <c r="G434" s="160"/>
    </row>
    <row r="435" spans="1:7" x14ac:dyDescent="0.25">
      <c r="A435" s="160"/>
      <c r="B435" s="160"/>
      <c r="C435" s="160"/>
      <c r="D435" s="160"/>
      <c r="E435" s="160"/>
      <c r="F435" s="160"/>
      <c r="G435" s="160"/>
    </row>
    <row r="436" spans="1:7" x14ac:dyDescent="0.25">
      <c r="A436" s="160"/>
      <c r="B436" s="160"/>
      <c r="C436" s="160"/>
      <c r="D436" s="160"/>
      <c r="E436" s="160"/>
      <c r="F436" s="160"/>
      <c r="G436" s="160"/>
    </row>
    <row r="437" spans="1:7" x14ac:dyDescent="0.25">
      <c r="A437" s="160"/>
      <c r="B437" s="160"/>
      <c r="C437" s="160"/>
      <c r="D437" s="160"/>
      <c r="E437" s="160"/>
      <c r="F437" s="160"/>
      <c r="G437" s="160"/>
    </row>
    <row r="438" spans="1:7" x14ac:dyDescent="0.25">
      <c r="A438" s="160"/>
      <c r="B438" s="160"/>
      <c r="C438" s="160"/>
      <c r="D438" s="160"/>
      <c r="E438" s="160"/>
      <c r="F438" s="160"/>
      <c r="G438" s="160"/>
    </row>
    <row r="439" spans="1:7" x14ac:dyDescent="0.25">
      <c r="A439" s="160"/>
      <c r="B439" s="160"/>
      <c r="C439" s="160"/>
      <c r="D439" s="160"/>
      <c r="E439" s="160"/>
      <c r="F439" s="160"/>
      <c r="G439" s="160"/>
    </row>
    <row r="440" spans="1:7" x14ac:dyDescent="0.25">
      <c r="A440" s="160"/>
      <c r="B440" s="160"/>
      <c r="C440" s="160"/>
      <c r="D440" s="160"/>
      <c r="E440" s="160"/>
      <c r="F440" s="160"/>
      <c r="G440" s="160"/>
    </row>
    <row r="441" spans="1:7" x14ac:dyDescent="0.25">
      <c r="A441" s="160"/>
      <c r="B441" s="160"/>
      <c r="C441" s="160"/>
      <c r="D441" s="160"/>
      <c r="E441" s="160"/>
      <c r="F441" s="160"/>
      <c r="G441" s="160"/>
    </row>
    <row r="442" spans="1:7" x14ac:dyDescent="0.25">
      <c r="A442" s="160"/>
      <c r="B442" s="160"/>
      <c r="C442" s="160"/>
      <c r="D442" s="160"/>
      <c r="E442" s="160"/>
      <c r="F442" s="160"/>
      <c r="G442" s="160"/>
    </row>
    <row r="443" spans="1:7" x14ac:dyDescent="0.25">
      <c r="A443" s="160"/>
      <c r="B443" s="160"/>
      <c r="C443" s="160"/>
      <c r="D443" s="160"/>
      <c r="E443" s="160"/>
      <c r="F443" s="160"/>
      <c r="G443" s="160"/>
    </row>
    <row r="444" spans="1:7" x14ac:dyDescent="0.25">
      <c r="A444" s="160"/>
      <c r="B444" s="160"/>
      <c r="C444" s="160"/>
      <c r="D444" s="160"/>
      <c r="E444" s="160"/>
      <c r="F444" s="160"/>
      <c r="G444" s="160"/>
    </row>
    <row r="445" spans="1:7" x14ac:dyDescent="0.25">
      <c r="A445" s="160"/>
      <c r="B445" s="160"/>
      <c r="C445" s="160"/>
      <c r="D445" s="160"/>
      <c r="E445" s="160"/>
      <c r="F445" s="160"/>
      <c r="G445" s="160"/>
    </row>
    <row r="446" spans="1:7" x14ac:dyDescent="0.25">
      <c r="A446" s="160"/>
      <c r="B446" s="160"/>
      <c r="C446" s="160"/>
      <c r="D446" s="160"/>
      <c r="E446" s="160"/>
      <c r="F446" s="160"/>
      <c r="G446" s="160"/>
    </row>
    <row r="447" spans="1:7" x14ac:dyDescent="0.25">
      <c r="A447" s="160"/>
      <c r="B447" s="160"/>
      <c r="C447" s="160"/>
      <c r="D447" s="160"/>
      <c r="E447" s="160"/>
      <c r="F447" s="160"/>
      <c r="G447" s="160"/>
    </row>
    <row r="448" spans="1:7" x14ac:dyDescent="0.25">
      <c r="A448" s="160"/>
      <c r="B448" s="160"/>
      <c r="C448" s="160"/>
      <c r="D448" s="160"/>
      <c r="E448" s="160"/>
      <c r="F448" s="160"/>
      <c r="G448" s="160"/>
    </row>
    <row r="449" spans="1:7" x14ac:dyDescent="0.25">
      <c r="A449" s="160"/>
      <c r="B449" s="160"/>
      <c r="C449" s="160"/>
      <c r="D449" s="160"/>
      <c r="E449" s="160"/>
      <c r="F449" s="160"/>
      <c r="G449" s="160"/>
    </row>
    <row r="450" spans="1:7" x14ac:dyDescent="0.25">
      <c r="A450" s="160"/>
      <c r="B450" s="160"/>
      <c r="C450" s="160"/>
      <c r="D450" s="160"/>
      <c r="E450" s="160"/>
      <c r="F450" s="160"/>
      <c r="G450" s="160"/>
    </row>
    <row r="451" spans="1:7" x14ac:dyDescent="0.25">
      <c r="A451" s="160"/>
      <c r="B451" s="160"/>
      <c r="C451" s="160"/>
      <c r="D451" s="160"/>
      <c r="E451" s="160"/>
      <c r="F451" s="160"/>
      <c r="G451" s="160"/>
    </row>
    <row r="452" spans="1:7" x14ac:dyDescent="0.25">
      <c r="A452" s="160"/>
      <c r="B452" s="160"/>
      <c r="C452" s="160"/>
      <c r="D452" s="160"/>
      <c r="E452" s="160"/>
      <c r="F452" s="160"/>
      <c r="G452" s="160"/>
    </row>
    <row r="453" spans="1:7" x14ac:dyDescent="0.25">
      <c r="A453" s="160"/>
      <c r="B453" s="160"/>
      <c r="C453" s="160"/>
      <c r="D453" s="160"/>
      <c r="E453" s="160"/>
      <c r="F453" s="160"/>
      <c r="G453" s="160"/>
    </row>
    <row r="454" spans="1:7" x14ac:dyDescent="0.25">
      <c r="A454" s="160"/>
      <c r="B454" s="160"/>
      <c r="C454" s="160"/>
      <c r="D454" s="160"/>
      <c r="E454" s="160"/>
      <c r="F454" s="160"/>
      <c r="G454" s="160"/>
    </row>
    <row r="455" spans="1:7" x14ac:dyDescent="0.25">
      <c r="A455" s="160"/>
      <c r="B455" s="160"/>
      <c r="C455" s="160"/>
      <c r="D455" s="160"/>
      <c r="E455" s="160"/>
      <c r="F455" s="160"/>
      <c r="G455" s="160"/>
    </row>
    <row r="456" spans="1:7" x14ac:dyDescent="0.25">
      <c r="A456" s="160"/>
      <c r="B456" s="160"/>
      <c r="C456" s="160"/>
      <c r="D456" s="160"/>
      <c r="E456" s="160"/>
      <c r="F456" s="160"/>
      <c r="G456" s="160"/>
    </row>
    <row r="457" spans="1:7" x14ac:dyDescent="0.25">
      <c r="A457" s="160"/>
      <c r="B457" s="160"/>
      <c r="C457" s="160"/>
      <c r="D457" s="160"/>
      <c r="E457" s="160"/>
      <c r="F457" s="160"/>
      <c r="G457" s="160"/>
    </row>
    <row r="458" spans="1:7" x14ac:dyDescent="0.25">
      <c r="A458" s="160"/>
      <c r="B458" s="160"/>
      <c r="C458" s="160"/>
      <c r="D458" s="160"/>
      <c r="E458" s="160"/>
      <c r="F458" s="160"/>
      <c r="G458" s="160"/>
    </row>
    <row r="459" spans="1:7" x14ac:dyDescent="0.25">
      <c r="A459" s="160"/>
      <c r="B459" s="160"/>
      <c r="C459" s="160"/>
      <c r="D459" s="160"/>
      <c r="E459" s="160"/>
      <c r="F459" s="160"/>
      <c r="G459" s="160"/>
    </row>
    <row r="460" spans="1:7" x14ac:dyDescent="0.25">
      <c r="A460" s="160"/>
      <c r="B460" s="160"/>
      <c r="C460" s="160"/>
      <c r="D460" s="160"/>
      <c r="E460" s="160"/>
      <c r="F460" s="160"/>
      <c r="G460" s="160"/>
    </row>
    <row r="461" spans="1:7" x14ac:dyDescent="0.25">
      <c r="A461" s="160"/>
      <c r="B461" s="160"/>
      <c r="C461" s="160"/>
      <c r="D461" s="160"/>
      <c r="E461" s="160"/>
      <c r="F461" s="160"/>
      <c r="G461" s="160"/>
    </row>
    <row r="462" spans="1:7" x14ac:dyDescent="0.25">
      <c r="A462" s="160"/>
      <c r="B462" s="160"/>
      <c r="C462" s="160"/>
      <c r="D462" s="160"/>
      <c r="E462" s="160"/>
      <c r="F462" s="160"/>
      <c r="G462" s="160"/>
    </row>
    <row r="463" spans="1:7" x14ac:dyDescent="0.25">
      <c r="A463" s="160"/>
      <c r="B463" s="160"/>
      <c r="C463" s="160"/>
      <c r="D463" s="160"/>
      <c r="E463" s="160"/>
      <c r="F463" s="160"/>
      <c r="G463" s="160"/>
    </row>
    <row r="464" spans="1:7" x14ac:dyDescent="0.25">
      <c r="A464" s="160"/>
      <c r="B464" s="160"/>
      <c r="C464" s="160"/>
      <c r="D464" s="160"/>
      <c r="E464" s="160"/>
      <c r="F464" s="160"/>
      <c r="G464" s="160"/>
    </row>
    <row r="465" spans="1:7" x14ac:dyDescent="0.25">
      <c r="A465" s="160"/>
      <c r="B465" s="160"/>
      <c r="C465" s="160"/>
      <c r="D465" s="160"/>
      <c r="E465" s="160"/>
      <c r="F465" s="160"/>
      <c r="G465" s="160"/>
    </row>
    <row r="466" spans="1:7" x14ac:dyDescent="0.25">
      <c r="A466" s="160"/>
      <c r="B466" s="160"/>
      <c r="C466" s="160"/>
      <c r="D466" s="160"/>
      <c r="E466" s="160"/>
      <c r="F466" s="160"/>
      <c r="G466" s="160"/>
    </row>
    <row r="467" spans="1:7" x14ac:dyDescent="0.25">
      <c r="A467" s="160"/>
      <c r="B467" s="160"/>
      <c r="C467" s="160"/>
      <c r="D467" s="160"/>
      <c r="E467" s="160"/>
      <c r="F467" s="160"/>
      <c r="G467" s="160"/>
    </row>
    <row r="468" spans="1:7" x14ac:dyDescent="0.25">
      <c r="A468" s="160"/>
      <c r="B468" s="160"/>
      <c r="C468" s="160"/>
      <c r="D468" s="160"/>
      <c r="E468" s="160"/>
      <c r="F468" s="160"/>
      <c r="G468" s="160"/>
    </row>
    <row r="469" spans="1:7" x14ac:dyDescent="0.25">
      <c r="A469" s="160"/>
      <c r="B469" s="160"/>
      <c r="C469" s="160"/>
      <c r="D469" s="160"/>
      <c r="E469" s="160"/>
      <c r="F469" s="160"/>
      <c r="G469" s="160"/>
    </row>
    <row r="470" spans="1:7" x14ac:dyDescent="0.25">
      <c r="A470" s="160"/>
      <c r="B470" s="160"/>
      <c r="C470" s="160"/>
      <c r="D470" s="160"/>
      <c r="E470" s="160"/>
      <c r="F470" s="160"/>
      <c r="G470" s="160"/>
    </row>
    <row r="471" spans="1:7" x14ac:dyDescent="0.25">
      <c r="A471" s="160"/>
      <c r="B471" s="160"/>
      <c r="C471" s="160"/>
      <c r="D471" s="160"/>
      <c r="E471" s="160"/>
      <c r="F471" s="160"/>
      <c r="G471" s="160"/>
    </row>
    <row r="472" spans="1:7" x14ac:dyDescent="0.25">
      <c r="A472" s="160"/>
      <c r="B472" s="160"/>
      <c r="C472" s="160"/>
      <c r="D472" s="160"/>
      <c r="E472" s="160"/>
      <c r="F472" s="160"/>
      <c r="G472" s="160"/>
    </row>
    <row r="473" spans="1:7" x14ac:dyDescent="0.25">
      <c r="A473" s="103"/>
      <c r="B473" s="105"/>
      <c r="C473" s="105"/>
      <c r="D473" s="105"/>
    </row>
  </sheetData>
  <sheetProtection password="DF3E" sheet="1" objects="1" scenarios="1"/>
  <sortState ref="A2:Q15">
    <sortCondition ref="A2:A15"/>
  </sortState>
  <customSheetViews>
    <customSheetView guid="{8F8E2059-EE6D-4B50-A6CC-A33BA571B0F2}" showPageBreaks="1" printArea="1" hiddenRows="1" hiddenColumns="1">
      <selection activeCell="J14" sqref="J14"/>
      <pageMargins left="0.7" right="0.7" top="0.75" bottom="0.75" header="0.3" footer="0.3"/>
      <printOptions headings="1" gridLines="1"/>
      <pageSetup scale="61" orientation="portrait" horizontalDpi="300" verticalDpi="300" r:id="rId1"/>
    </customSheetView>
  </customSheetViews>
  <mergeCells count="4">
    <mergeCell ref="B1:C1"/>
    <mergeCell ref="D1:E1"/>
    <mergeCell ref="F1:G212"/>
    <mergeCell ref="A217:G472"/>
  </mergeCells>
  <printOptions headings="1" gridLines="1"/>
  <pageMargins left="0.7" right="0.7" top="0.75" bottom="0.75" header="0.3" footer="0.3"/>
  <pageSetup scale="61" orientation="portrait" horizontalDpi="300" verticalDpi="300" r:id="rId2"/>
  <rowBreaks count="2" manualBreakCount="2">
    <brk id="65" max="4" man="1"/>
    <brk id="142" max="4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4"/>
  <sheetViews>
    <sheetView workbookViewId="0">
      <selection activeCell="A29" sqref="A29"/>
    </sheetView>
  </sheetViews>
  <sheetFormatPr defaultRowHeight="18.75" x14ac:dyDescent="0.3"/>
  <cols>
    <col min="1" max="1" width="104.140625" style="55" customWidth="1"/>
  </cols>
  <sheetData>
    <row r="2" spans="1:1" x14ac:dyDescent="0.3">
      <c r="A2" s="56" t="s">
        <v>72</v>
      </c>
    </row>
    <row r="3" spans="1:1" x14ac:dyDescent="0.3">
      <c r="A3" s="57" t="s">
        <v>79</v>
      </c>
    </row>
    <row r="4" spans="1:1" x14ac:dyDescent="0.3">
      <c r="A4" s="56" t="s">
        <v>73</v>
      </c>
    </row>
    <row r="5" spans="1:1" x14ac:dyDescent="0.3">
      <c r="A5" s="57" t="s">
        <v>79</v>
      </c>
    </row>
    <row r="6" spans="1:1" x14ac:dyDescent="0.3">
      <c r="A6" s="56" t="s">
        <v>74</v>
      </c>
    </row>
    <row r="7" spans="1:1" x14ac:dyDescent="0.3">
      <c r="A7" s="57" t="s">
        <v>79</v>
      </c>
    </row>
    <row r="8" spans="1:1" x14ac:dyDescent="0.3">
      <c r="A8" s="56" t="s">
        <v>75</v>
      </c>
    </row>
    <row r="9" spans="1:1" x14ac:dyDescent="0.3">
      <c r="A9" s="57" t="s">
        <v>79</v>
      </c>
    </row>
    <row r="10" spans="1:1" x14ac:dyDescent="0.3">
      <c r="A10" s="56" t="s">
        <v>76</v>
      </c>
    </row>
    <row r="11" spans="1:1" x14ac:dyDescent="0.3">
      <c r="A11" s="57" t="s">
        <v>79</v>
      </c>
    </row>
    <row r="12" spans="1:1" x14ac:dyDescent="0.3">
      <c r="A12" s="56" t="s">
        <v>77</v>
      </c>
    </row>
    <row r="13" spans="1:1" x14ac:dyDescent="0.3">
      <c r="A13" s="57" t="s">
        <v>79</v>
      </c>
    </row>
    <row r="14" spans="1:1" x14ac:dyDescent="0.3">
      <c r="A14" s="56" t="s">
        <v>78</v>
      </c>
    </row>
  </sheetData>
  <customSheetViews>
    <customSheetView guid="{8F8E2059-EE6D-4B50-A6CC-A33BA571B0F2}">
      <selection activeCell="A2" sqref="A2:A14"/>
      <pageMargins left="0.7" right="0.7" top="0.75" bottom="0.75" header="0.3" footer="0.3"/>
      <pageSetup orientation="portrait" horizontalDpi="1200" verticalDpi="1200" r:id="rId1"/>
    </customSheetView>
  </customSheetViews>
  <pageMargins left="0.7" right="0.7" top="0.75" bottom="0.75" header="0.3" footer="0.3"/>
  <pageSetup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showRowColHeaders="0" topLeftCell="A7" zoomScaleNormal="100" workbookViewId="0">
      <selection activeCell="B27" sqref="B27"/>
    </sheetView>
  </sheetViews>
  <sheetFormatPr defaultRowHeight="15" x14ac:dyDescent="0.25"/>
  <cols>
    <col min="1" max="1" width="46.5703125" style="24" customWidth="1"/>
    <col min="2" max="2" width="69.7109375" style="18" customWidth="1"/>
    <col min="3" max="3" width="9.140625" style="14"/>
  </cols>
  <sheetData>
    <row r="1" spans="1:2" x14ac:dyDescent="0.25">
      <c r="A1" s="13" t="s">
        <v>36</v>
      </c>
      <c r="B1" s="13" t="s">
        <v>37</v>
      </c>
    </row>
    <row r="2" spans="1:2" x14ac:dyDescent="0.25">
      <c r="A2" s="123" t="s">
        <v>80</v>
      </c>
      <c r="B2" s="15" t="s">
        <v>38</v>
      </c>
    </row>
    <row r="3" spans="1:2" x14ac:dyDescent="0.25">
      <c r="A3" s="123" t="s">
        <v>81</v>
      </c>
      <c r="B3" s="15"/>
    </row>
    <row r="4" spans="1:2" x14ac:dyDescent="0.25">
      <c r="A4" s="124" t="s">
        <v>22</v>
      </c>
      <c r="B4" s="15" t="s">
        <v>39</v>
      </c>
    </row>
    <row r="5" spans="1:2" x14ac:dyDescent="0.25">
      <c r="A5" s="124" t="s">
        <v>1</v>
      </c>
      <c r="B5" s="15" t="s">
        <v>40</v>
      </c>
    </row>
    <row r="6" spans="1:2" ht="30" x14ac:dyDescent="0.25">
      <c r="A6" s="124" t="s">
        <v>2</v>
      </c>
      <c r="B6" s="15" t="s">
        <v>41</v>
      </c>
    </row>
    <row r="7" spans="1:2" ht="30" x14ac:dyDescent="0.25">
      <c r="A7" s="124" t="s">
        <v>3</v>
      </c>
      <c r="B7" s="15" t="s">
        <v>42</v>
      </c>
    </row>
    <row r="8" spans="1:2" x14ac:dyDescent="0.25">
      <c r="A8" s="124" t="s">
        <v>4</v>
      </c>
      <c r="B8" s="15" t="s">
        <v>43</v>
      </c>
    </row>
    <row r="9" spans="1:2" ht="30" x14ac:dyDescent="0.25">
      <c r="A9" s="124" t="s">
        <v>10</v>
      </c>
      <c r="B9" s="15" t="s">
        <v>44</v>
      </c>
    </row>
    <row r="10" spans="1:2" ht="30" x14ac:dyDescent="0.25">
      <c r="A10" s="124" t="s">
        <v>34</v>
      </c>
      <c r="B10" s="15" t="s">
        <v>45</v>
      </c>
    </row>
    <row r="11" spans="1:2" x14ac:dyDescent="0.25">
      <c r="A11" s="124" t="s">
        <v>5</v>
      </c>
      <c r="B11" s="15" t="s">
        <v>46</v>
      </c>
    </row>
    <row r="12" spans="1:2" x14ac:dyDescent="0.25">
      <c r="A12" s="124" t="s">
        <v>6</v>
      </c>
      <c r="B12" s="15" t="s">
        <v>47</v>
      </c>
    </row>
    <row r="13" spans="1:2" x14ac:dyDescent="0.25">
      <c r="A13" s="124" t="s">
        <v>7</v>
      </c>
      <c r="B13" s="15" t="s">
        <v>48</v>
      </c>
    </row>
    <row r="14" spans="1:2" x14ac:dyDescent="0.25">
      <c r="A14" s="124" t="s">
        <v>33</v>
      </c>
      <c r="B14" s="15" t="s">
        <v>49</v>
      </c>
    </row>
    <row r="15" spans="1:2" ht="30" x14ac:dyDescent="0.25">
      <c r="A15" s="124" t="s">
        <v>8</v>
      </c>
      <c r="B15" s="15" t="s">
        <v>50</v>
      </c>
    </row>
    <row r="16" spans="1:2" ht="30" x14ac:dyDescent="0.25">
      <c r="A16" s="124" t="s">
        <v>12</v>
      </c>
      <c r="B16" s="15" t="s">
        <v>51</v>
      </c>
    </row>
    <row r="17" spans="1:3" ht="30" x14ac:dyDescent="0.25">
      <c r="A17" s="124" t="s">
        <v>18</v>
      </c>
      <c r="B17" s="15" t="s">
        <v>52</v>
      </c>
    </row>
    <row r="18" spans="1:3" ht="30" x14ac:dyDescent="0.25">
      <c r="A18" s="124" t="s">
        <v>13</v>
      </c>
      <c r="B18" s="15" t="s">
        <v>53</v>
      </c>
    </row>
    <row r="19" spans="1:3" x14ac:dyDescent="0.25">
      <c r="A19" s="124" t="s">
        <v>19</v>
      </c>
      <c r="B19" s="15" t="s">
        <v>54</v>
      </c>
    </row>
    <row r="20" spans="1:3" ht="30" x14ac:dyDescent="0.25">
      <c r="A20" s="125" t="s">
        <v>35</v>
      </c>
      <c r="B20" s="15" t="s">
        <v>55</v>
      </c>
    </row>
    <row r="21" spans="1:3" ht="45" x14ac:dyDescent="0.25">
      <c r="A21" s="124" t="s">
        <v>9</v>
      </c>
      <c r="B21" s="15" t="s">
        <v>56</v>
      </c>
    </row>
    <row r="22" spans="1:3" ht="30" x14ac:dyDescent="0.25">
      <c r="A22" s="124" t="s">
        <v>11</v>
      </c>
      <c r="B22" s="15" t="s">
        <v>57</v>
      </c>
    </row>
    <row r="23" spans="1:3" ht="30" x14ac:dyDescent="0.25">
      <c r="A23" s="126" t="s">
        <v>30</v>
      </c>
      <c r="B23" s="21" t="s">
        <v>58</v>
      </c>
      <c r="C23" s="14" t="s">
        <v>32</v>
      </c>
    </row>
    <row r="24" spans="1:3" hidden="1" x14ac:dyDescent="0.25">
      <c r="A24" s="127" t="s">
        <v>25</v>
      </c>
      <c r="B24" s="22" t="s">
        <v>59</v>
      </c>
    </row>
    <row r="25" spans="1:3" hidden="1" x14ac:dyDescent="0.25">
      <c r="A25" s="128" t="s">
        <v>24</v>
      </c>
      <c r="B25" s="16" t="s">
        <v>59</v>
      </c>
    </row>
    <row r="26" spans="1:3" x14ac:dyDescent="0.25">
      <c r="A26" s="129" t="s">
        <v>90</v>
      </c>
      <c r="B26" s="16" t="s">
        <v>60</v>
      </c>
    </row>
    <row r="27" spans="1:3" ht="30" x14ac:dyDescent="0.25">
      <c r="A27" s="129" t="s">
        <v>28</v>
      </c>
      <c r="B27" s="16" t="s">
        <v>61</v>
      </c>
    </row>
    <row r="28" spans="1:3" ht="45" x14ac:dyDescent="0.25">
      <c r="A28" s="129" t="s">
        <v>31</v>
      </c>
      <c r="B28" s="16" t="s">
        <v>62</v>
      </c>
    </row>
    <row r="29" spans="1:3" ht="45" x14ac:dyDescent="0.25">
      <c r="A29" s="129" t="s">
        <v>31</v>
      </c>
      <c r="B29" s="16" t="s">
        <v>63</v>
      </c>
    </row>
    <row r="30" spans="1:3" x14ac:dyDescent="0.25">
      <c r="A30" s="128" t="s">
        <v>26</v>
      </c>
      <c r="B30" s="16" t="s">
        <v>64</v>
      </c>
    </row>
    <row r="31" spans="1:3" ht="30" x14ac:dyDescent="0.25">
      <c r="A31" s="128" t="s">
        <v>27</v>
      </c>
      <c r="B31" s="16" t="s">
        <v>65</v>
      </c>
    </row>
    <row r="32" spans="1:3" ht="45.75" thickBot="1" x14ac:dyDescent="0.3">
      <c r="A32" s="130" t="s">
        <v>29</v>
      </c>
      <c r="B32" s="17" t="s">
        <v>66</v>
      </c>
    </row>
    <row r="33" spans="1:2" hidden="1" x14ac:dyDescent="0.25"/>
    <row r="34" spans="1:2" hidden="1" x14ac:dyDescent="0.25">
      <c r="A34" s="23" t="s">
        <v>0</v>
      </c>
    </row>
    <row r="35" spans="1:2" hidden="1" x14ac:dyDescent="0.25">
      <c r="A35" s="19" t="s">
        <v>14</v>
      </c>
      <c r="B35" s="20" t="s">
        <v>67</v>
      </c>
    </row>
    <row r="36" spans="1:2" hidden="1" x14ac:dyDescent="0.25">
      <c r="A36" s="19" t="s">
        <v>15</v>
      </c>
      <c r="B36" s="20" t="s">
        <v>68</v>
      </c>
    </row>
    <row r="37" spans="1:2" ht="30" hidden="1" x14ac:dyDescent="0.25">
      <c r="A37" s="19" t="s">
        <v>16</v>
      </c>
      <c r="B37" s="20" t="s">
        <v>69</v>
      </c>
    </row>
    <row r="38" spans="1:2" ht="30" hidden="1" x14ac:dyDescent="0.25">
      <c r="A38" s="19" t="s">
        <v>17</v>
      </c>
      <c r="B38" s="20" t="s">
        <v>70</v>
      </c>
    </row>
  </sheetData>
  <customSheetViews>
    <customSheetView guid="{8F8E2059-EE6D-4B50-A6CC-A33BA571B0F2}">
      <selection activeCell="B11" sqref="B11"/>
      <pageMargins left="0.7" right="0.7" top="0.75" bottom="0.75" header="0.3" footer="0.3"/>
      <pageSetup scale="87" orientation="portrait" horizontalDpi="300" verticalDpi="300" r:id="rId1"/>
    </customSheetView>
  </customSheetViews>
  <pageMargins left="0.7" right="0.7" top="0.75" bottom="0.75" header="0.3" footer="0.3"/>
  <pageSetup scale="87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MAIN CALCULATOR</vt:lpstr>
      <vt:lpstr>INTERNAL PROCESS</vt:lpstr>
      <vt:lpstr>GLOSSARY</vt:lpstr>
      <vt:lpstr>GLOSSARY!Print_Area</vt:lpstr>
      <vt:lpstr>'MAIN CALCULATOR'!Print_Area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Raff</dc:creator>
  <cp:lastModifiedBy>LARRY RAFF</cp:lastModifiedBy>
  <cp:lastPrinted>2015-01-08T14:24:12Z</cp:lastPrinted>
  <dcterms:created xsi:type="dcterms:W3CDTF">2012-04-14T18:04:57Z</dcterms:created>
  <dcterms:modified xsi:type="dcterms:W3CDTF">2017-01-11T18:50:49Z</dcterms:modified>
</cp:coreProperties>
</file>